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eren\Desktop\INFORMACION CPU\Desktop\LUIS ANGEL\RESPUESTA JUZGADO 15122021\CUENTAS POR PAGAR\"/>
    </mc:Choice>
  </mc:AlternateContent>
  <bookViews>
    <workbookView xWindow="0" yWindow="0" windowWidth="20490" windowHeight="7755"/>
  </bookViews>
  <sheets>
    <sheet name="Hoj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9" i="1" l="1"/>
  <c r="S209" i="1"/>
  <c r="P209" i="1"/>
  <c r="O209" i="1"/>
  <c r="M209" i="1"/>
  <c r="L209" i="1"/>
  <c r="K209" i="1"/>
  <c r="H209" i="1"/>
  <c r="G209" i="1"/>
  <c r="F209" i="1"/>
  <c r="E209" i="1"/>
  <c r="D209" i="1"/>
  <c r="C209" i="1"/>
  <c r="B209" i="1"/>
  <c r="AA208" i="1"/>
  <c r="Z208" i="1"/>
  <c r="AB208" i="1" s="1"/>
  <c r="N208" i="1"/>
  <c r="AA207" i="1"/>
  <c r="Z207" i="1"/>
  <c r="X207" i="1"/>
  <c r="AA206" i="1"/>
  <c r="Z206" i="1"/>
  <c r="AB206" i="1" s="1"/>
  <c r="X206" i="1"/>
  <c r="AA205" i="1"/>
  <c r="Z205" i="1"/>
  <c r="X205" i="1"/>
  <c r="W204" i="1"/>
  <c r="W209" i="1" s="1"/>
  <c r="V204" i="1"/>
  <c r="V209" i="1" s="1"/>
  <c r="T204" i="1"/>
  <c r="T209" i="1" s="1"/>
  <c r="S204" i="1"/>
  <c r="R204" i="1"/>
  <c r="R209" i="1" s="1"/>
  <c r="Q204" i="1"/>
  <c r="Z204" i="1" s="1"/>
  <c r="AA203" i="1"/>
  <c r="Q203" i="1"/>
  <c r="Q209" i="1" s="1"/>
  <c r="J203" i="1"/>
  <c r="J209" i="1" s="1"/>
  <c r="I203" i="1"/>
  <c r="X203" i="1" s="1"/>
  <c r="AA202" i="1"/>
  <c r="Z202" i="1"/>
  <c r="AB202" i="1" s="1"/>
  <c r="X202" i="1"/>
  <c r="AA201" i="1"/>
  <c r="Z201" i="1"/>
  <c r="X201" i="1"/>
  <c r="AB200" i="1"/>
  <c r="AA200" i="1"/>
  <c r="Z200" i="1"/>
  <c r="Y200" i="1"/>
  <c r="X200" i="1"/>
  <c r="Y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AA198" i="1"/>
  <c r="Z198" i="1"/>
  <c r="AB198" i="1" s="1"/>
  <c r="X198" i="1"/>
  <c r="AA197" i="1"/>
  <c r="Z197" i="1"/>
  <c r="X197" i="1"/>
  <c r="W197" i="1"/>
  <c r="Z196" i="1"/>
  <c r="Z199" i="1" s="1"/>
  <c r="W196" i="1"/>
  <c r="AA195" i="1"/>
  <c r="Z195" i="1"/>
  <c r="AB195" i="1" s="1"/>
  <c r="X195" i="1"/>
  <c r="AB194" i="1"/>
  <c r="AA194" i="1"/>
  <c r="Z194" i="1"/>
  <c r="Y194" i="1"/>
  <c r="X194" i="1"/>
  <c r="W193" i="1"/>
  <c r="V193" i="1"/>
  <c r="U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AA192" i="1"/>
  <c r="AA193" i="1" s="1"/>
  <c r="Y192" i="1"/>
  <c r="Y193" i="1" s="1"/>
  <c r="T192" i="1"/>
  <c r="T193" i="1" s="1"/>
  <c r="S192" i="1"/>
  <c r="S193" i="1" s="1"/>
  <c r="AA191" i="1"/>
  <c r="Z191" i="1"/>
  <c r="AB191" i="1" s="1"/>
  <c r="X191" i="1"/>
  <c r="AA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AA189" i="1"/>
  <c r="X189" i="1"/>
  <c r="N189" i="1"/>
  <c r="Z189" i="1" s="1"/>
  <c r="AB189" i="1" s="1"/>
  <c r="AA188" i="1"/>
  <c r="Z188" i="1"/>
  <c r="AB188" i="1" s="1"/>
  <c r="X188" i="1"/>
  <c r="X187" i="1"/>
  <c r="Y186" i="1"/>
  <c r="W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AA185" i="1"/>
  <c r="Z185" i="1"/>
  <c r="AB185" i="1" s="1"/>
  <c r="V185" i="1"/>
  <c r="X185" i="1" s="1"/>
  <c r="AA184" i="1"/>
  <c r="Z184" i="1"/>
  <c r="X184" i="1"/>
  <c r="AA183" i="1"/>
  <c r="Z183" i="1"/>
  <c r="AB183" i="1" s="1"/>
  <c r="X183" i="1"/>
  <c r="AA182" i="1"/>
  <c r="AA186" i="1" s="1"/>
  <c r="X182" i="1"/>
  <c r="V182" i="1"/>
  <c r="Z182" i="1" s="1"/>
  <c r="AB182" i="1" s="1"/>
  <c r="AA181" i="1"/>
  <c r="V181" i="1"/>
  <c r="U181" i="1"/>
  <c r="AB180" i="1"/>
  <c r="AA180" i="1"/>
  <c r="Z180" i="1"/>
  <c r="Y180" i="1"/>
  <c r="X180" i="1"/>
  <c r="Y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I179" i="1"/>
  <c r="H179" i="1"/>
  <c r="G179" i="1"/>
  <c r="F179" i="1"/>
  <c r="E179" i="1"/>
  <c r="D179" i="1"/>
  <c r="C179" i="1"/>
  <c r="B179" i="1"/>
  <c r="AA178" i="1"/>
  <c r="Z178" i="1"/>
  <c r="AB178" i="1" s="1"/>
  <c r="X178" i="1"/>
  <c r="AA177" i="1"/>
  <c r="Z177" i="1"/>
  <c r="AB177" i="1" s="1"/>
  <c r="J177" i="1"/>
  <c r="AA176" i="1"/>
  <c r="AA179" i="1" s="1"/>
  <c r="Z176" i="1"/>
  <c r="X176" i="1"/>
  <c r="AA175" i="1"/>
  <c r="Z175" i="1"/>
  <c r="AB175" i="1" s="1"/>
  <c r="X175" i="1"/>
  <c r="S174" i="1"/>
  <c r="R174" i="1"/>
  <c r="R167" i="1" s="1"/>
  <c r="Q174" i="1"/>
  <c r="P174" i="1"/>
  <c r="P167" i="1" s="1"/>
  <c r="O174" i="1"/>
  <c r="N174" i="1"/>
  <c r="N167" i="1" s="1"/>
  <c r="M174" i="1"/>
  <c r="L174" i="1"/>
  <c r="L167" i="1" s="1"/>
  <c r="K174" i="1"/>
  <c r="J174" i="1"/>
  <c r="I174" i="1"/>
  <c r="H174" i="1"/>
  <c r="G174" i="1"/>
  <c r="F174" i="1"/>
  <c r="F167" i="1" s="1"/>
  <c r="E174" i="1"/>
  <c r="D174" i="1"/>
  <c r="C174" i="1"/>
  <c r="B174" i="1"/>
  <c r="AA173" i="1"/>
  <c r="Z173" i="1"/>
  <c r="Y173" i="1"/>
  <c r="T173" i="1"/>
  <c r="X173" i="1" s="1"/>
  <c r="AB173" i="1" s="1"/>
  <c r="AA172" i="1"/>
  <c r="AA167" i="1" s="1"/>
  <c r="Y172" i="1"/>
  <c r="W172" i="1"/>
  <c r="V172" i="1"/>
  <c r="U172" i="1"/>
  <c r="U167" i="1" s="1"/>
  <c r="T172" i="1"/>
  <c r="S172" i="1"/>
  <c r="S167" i="1" s="1"/>
  <c r="R172" i="1"/>
  <c r="Q172" i="1"/>
  <c r="P172" i="1"/>
  <c r="O172" i="1"/>
  <c r="O167" i="1" s="1"/>
  <c r="N172" i="1"/>
  <c r="M172" i="1"/>
  <c r="L172" i="1"/>
  <c r="K172" i="1"/>
  <c r="K167" i="1" s="1"/>
  <c r="F172" i="1"/>
  <c r="E172" i="1"/>
  <c r="E167" i="1" s="1"/>
  <c r="D172" i="1"/>
  <c r="C172" i="1"/>
  <c r="C167" i="1" s="1"/>
  <c r="B172" i="1"/>
  <c r="AA171" i="1"/>
  <c r="Z171" i="1"/>
  <c r="AB171" i="1" s="1"/>
  <c r="X171" i="1"/>
  <c r="AA170" i="1"/>
  <c r="O170" i="1"/>
  <c r="M170" i="1"/>
  <c r="K170" i="1"/>
  <c r="J170" i="1"/>
  <c r="J172" i="1" s="1"/>
  <c r="I170" i="1"/>
  <c r="H170" i="1" s="1"/>
  <c r="H172" i="1" s="1"/>
  <c r="H167" i="1" s="1"/>
  <c r="G170" i="1"/>
  <c r="X170" i="1" s="1"/>
  <c r="AA169" i="1"/>
  <c r="Z169" i="1"/>
  <c r="X169" i="1"/>
  <c r="AB168" i="1"/>
  <c r="AA168" i="1"/>
  <c r="Z168" i="1"/>
  <c r="Y168" i="1"/>
  <c r="X168" i="1"/>
  <c r="V167" i="1"/>
  <c r="T167" i="1"/>
  <c r="Q167" i="1"/>
  <c r="M167" i="1"/>
  <c r="D167" i="1"/>
  <c r="B167" i="1"/>
  <c r="Y166" i="1"/>
  <c r="T166" i="1"/>
  <c r="R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AA165" i="1"/>
  <c r="X165" i="1"/>
  <c r="S165" i="1"/>
  <c r="Z165" i="1" s="1"/>
  <c r="AB165" i="1" s="1"/>
  <c r="AA164" i="1"/>
  <c r="Z164" i="1"/>
  <c r="AB164" i="1" s="1"/>
  <c r="Q164" i="1"/>
  <c r="AA163" i="1"/>
  <c r="X163" i="1"/>
  <c r="S163" i="1"/>
  <c r="Z163" i="1" s="1"/>
  <c r="AB163" i="1" s="1"/>
  <c r="Z162" i="1"/>
  <c r="W162" i="1"/>
  <c r="R162" i="1"/>
  <c r="X162" i="1" s="1"/>
  <c r="AA161" i="1"/>
  <c r="Z161" i="1"/>
  <c r="AB161" i="1" s="1"/>
  <c r="X161" i="1"/>
  <c r="AA160" i="1"/>
  <c r="V160" i="1"/>
  <c r="V166" i="1" s="1"/>
  <c r="R160" i="1"/>
  <c r="AA159" i="1"/>
  <c r="Z159" i="1"/>
  <c r="AB159" i="1" s="1"/>
  <c r="X159" i="1"/>
  <c r="AA158" i="1"/>
  <c r="Z158" i="1"/>
  <c r="AB158" i="1" s="1"/>
  <c r="S158" i="1"/>
  <c r="X158" i="1" s="1"/>
  <c r="AA157" i="1"/>
  <c r="X157" i="1"/>
  <c r="R157" i="1"/>
  <c r="Z157" i="1" s="1"/>
  <c r="AB157" i="1" s="1"/>
  <c r="AA156" i="1"/>
  <c r="Z156" i="1"/>
  <c r="AB156" i="1" s="1"/>
  <c r="X156" i="1"/>
  <c r="AA155" i="1"/>
  <c r="Z155" i="1"/>
  <c r="AB155" i="1" s="1"/>
  <c r="X155" i="1"/>
  <c r="AA154" i="1"/>
  <c r="U154" i="1"/>
  <c r="Z154" i="1" s="1"/>
  <c r="AB154" i="1" s="1"/>
  <c r="AA153" i="1"/>
  <c r="Z153" i="1"/>
  <c r="AB153" i="1" s="1"/>
  <c r="X153" i="1"/>
  <c r="AA152" i="1"/>
  <c r="Z152" i="1"/>
  <c r="X152" i="1"/>
  <c r="AA151" i="1"/>
  <c r="Z151" i="1"/>
  <c r="AB151" i="1" s="1"/>
  <c r="X151" i="1"/>
  <c r="AA150" i="1"/>
  <c r="X150" i="1"/>
  <c r="S150" i="1"/>
  <c r="S166" i="1" s="1"/>
  <c r="S148" i="1" s="1"/>
  <c r="AA149" i="1"/>
  <c r="Z149" i="1"/>
  <c r="AB149" i="1" s="1"/>
  <c r="X149" i="1"/>
  <c r="Y148" i="1"/>
  <c r="T148" i="1"/>
  <c r="R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Y147" i="1"/>
  <c r="V147" i="1"/>
  <c r="U147" i="1"/>
  <c r="T147" i="1"/>
  <c r="Q147" i="1"/>
  <c r="P147" i="1"/>
  <c r="O147" i="1"/>
  <c r="O141" i="1" s="1"/>
  <c r="N147" i="1"/>
  <c r="M147" i="1"/>
  <c r="M141" i="1" s="1"/>
  <c r="L147" i="1"/>
  <c r="K147" i="1"/>
  <c r="K141" i="1" s="1"/>
  <c r="J147" i="1"/>
  <c r="I147" i="1"/>
  <c r="I141" i="1" s="1"/>
  <c r="H147" i="1"/>
  <c r="G147" i="1"/>
  <c r="G141" i="1" s="1"/>
  <c r="F147" i="1"/>
  <c r="E147" i="1"/>
  <c r="E141" i="1" s="1"/>
  <c r="D147" i="1"/>
  <c r="C147" i="1"/>
  <c r="C141" i="1" s="1"/>
  <c r="B147" i="1"/>
  <c r="AA146" i="1"/>
  <c r="Z146" i="1"/>
  <c r="AB146" i="1" s="1"/>
  <c r="S146" i="1"/>
  <c r="S147" i="1" s="1"/>
  <c r="S141" i="1" s="1"/>
  <c r="R146" i="1"/>
  <c r="X146" i="1" s="1"/>
  <c r="Z145" i="1"/>
  <c r="W145" i="1"/>
  <c r="AA144" i="1"/>
  <c r="Z144" i="1"/>
  <c r="X144" i="1"/>
  <c r="AA143" i="1"/>
  <c r="X143" i="1"/>
  <c r="R143" i="1"/>
  <c r="R147" i="1" s="1"/>
  <c r="AB142" i="1"/>
  <c r="AA142" i="1"/>
  <c r="Z142" i="1"/>
  <c r="Y142" i="1"/>
  <c r="X142" i="1"/>
  <c r="Y141" i="1"/>
  <c r="T141" i="1"/>
  <c r="R141" i="1"/>
  <c r="P141" i="1"/>
  <c r="N141" i="1"/>
  <c r="L141" i="1"/>
  <c r="J141" i="1"/>
  <c r="H141" i="1"/>
  <c r="F141" i="1"/>
  <c r="D141" i="1"/>
  <c r="B141" i="1"/>
  <c r="T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AA139" i="1"/>
  <c r="Z139" i="1"/>
  <c r="AB139" i="1" s="1"/>
  <c r="X139" i="1"/>
  <c r="AA138" i="1"/>
  <c r="Z138" i="1"/>
  <c r="AB138" i="1" s="1"/>
  <c r="X138" i="1"/>
  <c r="AA137" i="1"/>
  <c r="X137" i="1"/>
  <c r="R137" i="1"/>
  <c r="Z137" i="1" s="1"/>
  <c r="AB137" i="1" s="1"/>
  <c r="AA136" i="1"/>
  <c r="Z136" i="1"/>
  <c r="AB136" i="1" s="1"/>
  <c r="X136" i="1"/>
  <c r="AA135" i="1"/>
  <c r="Z135" i="1"/>
  <c r="AB135" i="1" s="1"/>
  <c r="X135" i="1"/>
  <c r="AA134" i="1"/>
  <c r="Z134" i="1"/>
  <c r="AB134" i="1" s="1"/>
  <c r="X134" i="1"/>
  <c r="Z133" i="1"/>
  <c r="AB133" i="1" s="1"/>
  <c r="W133" i="1"/>
  <c r="AA133" i="1" s="1"/>
  <c r="AA132" i="1"/>
  <c r="Z132" i="1"/>
  <c r="AB132" i="1" s="1"/>
  <c r="X132" i="1"/>
  <c r="W132" i="1"/>
  <c r="AA131" i="1"/>
  <c r="V131" i="1"/>
  <c r="V140" i="1" s="1"/>
  <c r="T131" i="1"/>
  <c r="R131" i="1"/>
  <c r="Z131" i="1" s="1"/>
  <c r="AB131" i="1" s="1"/>
  <c r="AA130" i="1"/>
  <c r="W130" i="1"/>
  <c r="W140" i="1" s="1"/>
  <c r="U130" i="1"/>
  <c r="T130" i="1"/>
  <c r="S130" i="1"/>
  <c r="X130" i="1" s="1"/>
  <c r="AA129" i="1"/>
  <c r="X129" i="1"/>
  <c r="R129" i="1"/>
  <c r="Z129" i="1" s="1"/>
  <c r="AB129" i="1" s="1"/>
  <c r="AA128" i="1"/>
  <c r="Z128" i="1"/>
  <c r="AB128" i="1" s="1"/>
  <c r="X128" i="1"/>
  <c r="AA127" i="1"/>
  <c r="Z127" i="1"/>
  <c r="AB127" i="1" s="1"/>
  <c r="X127" i="1"/>
  <c r="AA126" i="1"/>
  <c r="U126" i="1"/>
  <c r="T126" i="1"/>
  <c r="S126" i="1"/>
  <c r="Z126" i="1" s="1"/>
  <c r="AB126" i="1" s="1"/>
  <c r="AA125" i="1"/>
  <c r="Z125" i="1"/>
  <c r="AB125" i="1" s="1"/>
  <c r="X125" i="1"/>
  <c r="AA124" i="1"/>
  <c r="X124" i="1"/>
  <c r="U124" i="1"/>
  <c r="U140" i="1" s="1"/>
  <c r="AA123" i="1"/>
  <c r="S123" i="1"/>
  <c r="Z123" i="1" s="1"/>
  <c r="AB123" i="1" s="1"/>
  <c r="AA122" i="1"/>
  <c r="S122" i="1"/>
  <c r="S140" i="1" s="1"/>
  <c r="R122" i="1"/>
  <c r="R140" i="1" s="1"/>
  <c r="AA121" i="1"/>
  <c r="Z121" i="1"/>
  <c r="AB121" i="1" s="1"/>
  <c r="X121" i="1"/>
  <c r="AA120" i="1"/>
  <c r="AA140" i="1" s="1"/>
  <c r="X120" i="1"/>
  <c r="R120" i="1"/>
  <c r="Z120" i="1" s="1"/>
  <c r="AB120" i="1" s="1"/>
  <c r="AB119" i="1"/>
  <c r="AA119" i="1"/>
  <c r="Z119" i="1"/>
  <c r="Y119" i="1"/>
  <c r="X119" i="1"/>
  <c r="Y118" i="1"/>
  <c r="W118" i="1"/>
  <c r="P118" i="1"/>
  <c r="P74" i="1" s="1"/>
  <c r="O118" i="1"/>
  <c r="N118" i="1"/>
  <c r="N74" i="1" s="1"/>
  <c r="M118" i="1"/>
  <c r="L118" i="1"/>
  <c r="L74" i="1" s="1"/>
  <c r="K118" i="1"/>
  <c r="J118" i="1"/>
  <c r="J74" i="1" s="1"/>
  <c r="I118" i="1"/>
  <c r="H118" i="1"/>
  <c r="H74" i="1" s="1"/>
  <c r="G118" i="1"/>
  <c r="F118" i="1"/>
  <c r="F74" i="1" s="1"/>
  <c r="E118" i="1"/>
  <c r="D118" i="1"/>
  <c r="D74" i="1" s="1"/>
  <c r="C118" i="1"/>
  <c r="B118" i="1"/>
  <c r="B74" i="1" s="1"/>
  <c r="AA117" i="1"/>
  <c r="X117" i="1"/>
  <c r="R117" i="1"/>
  <c r="Z117" i="1" s="1"/>
  <c r="AB117" i="1" s="1"/>
  <c r="AA116" i="1"/>
  <c r="Z116" i="1"/>
  <c r="AB116" i="1" s="1"/>
  <c r="X116" i="1"/>
  <c r="AA115" i="1"/>
  <c r="V115" i="1"/>
  <c r="Z115" i="1" s="1"/>
  <c r="AB115" i="1" s="1"/>
  <c r="AA114" i="1"/>
  <c r="X114" i="1"/>
  <c r="U114" i="1"/>
  <c r="Z114" i="1" s="1"/>
  <c r="AB114" i="1" s="1"/>
  <c r="AA113" i="1"/>
  <c r="Z113" i="1"/>
  <c r="AB113" i="1" s="1"/>
  <c r="X113" i="1"/>
  <c r="AA112" i="1"/>
  <c r="Z112" i="1"/>
  <c r="AB112" i="1" s="1"/>
  <c r="X112" i="1"/>
  <c r="AA111" i="1"/>
  <c r="Z111" i="1"/>
  <c r="AB111" i="1" s="1"/>
  <c r="X111" i="1"/>
  <c r="AA110" i="1"/>
  <c r="V110" i="1"/>
  <c r="Z110" i="1" s="1"/>
  <c r="AB110" i="1" s="1"/>
  <c r="AA109" i="1"/>
  <c r="Z109" i="1"/>
  <c r="AB109" i="1" s="1"/>
  <c r="X109" i="1"/>
  <c r="AA108" i="1"/>
  <c r="Z108" i="1"/>
  <c r="X108" i="1"/>
  <c r="AA107" i="1"/>
  <c r="Z107" i="1"/>
  <c r="AB107" i="1" s="1"/>
  <c r="X107" i="1"/>
  <c r="AA106" i="1"/>
  <c r="X106" i="1"/>
  <c r="U106" i="1"/>
  <c r="Z106" i="1" s="1"/>
  <c r="AB106" i="1" s="1"/>
  <c r="AA105" i="1"/>
  <c r="R105" i="1"/>
  <c r="X105" i="1" s="1"/>
  <c r="AA104" i="1"/>
  <c r="Z104" i="1"/>
  <c r="AB104" i="1" s="1"/>
  <c r="X104" i="1"/>
  <c r="AA103" i="1"/>
  <c r="X103" i="1"/>
  <c r="V103" i="1"/>
  <c r="Z103" i="1" s="1"/>
  <c r="AB103" i="1" s="1"/>
  <c r="AA102" i="1"/>
  <c r="R102" i="1"/>
  <c r="Z102" i="1" s="1"/>
  <c r="AB102" i="1" s="1"/>
  <c r="Q102" i="1"/>
  <c r="AA101" i="1"/>
  <c r="Z101" i="1"/>
  <c r="AB101" i="1" s="1"/>
  <c r="X101" i="1"/>
  <c r="AA100" i="1"/>
  <c r="Z100" i="1"/>
  <c r="AB100" i="1" s="1"/>
  <c r="X100" i="1"/>
  <c r="AA99" i="1"/>
  <c r="Z99" i="1"/>
  <c r="AB99" i="1" s="1"/>
  <c r="X99" i="1"/>
  <c r="AA98" i="1"/>
  <c r="Z98" i="1"/>
  <c r="AB98" i="1" s="1"/>
  <c r="X98" i="1"/>
  <c r="AA97" i="1"/>
  <c r="Z97" i="1"/>
  <c r="AB97" i="1" s="1"/>
  <c r="V97" i="1"/>
  <c r="X97" i="1" s="1"/>
  <c r="AA96" i="1"/>
  <c r="Z96" i="1"/>
  <c r="X96" i="1"/>
  <c r="AA95" i="1"/>
  <c r="Z95" i="1"/>
  <c r="AB95" i="1" s="1"/>
  <c r="X95" i="1"/>
  <c r="AA94" i="1"/>
  <c r="V94" i="1"/>
  <c r="U94" i="1"/>
  <c r="Z94" i="1" s="1"/>
  <c r="AA93" i="1"/>
  <c r="X93" i="1"/>
  <c r="T93" i="1"/>
  <c r="Z93" i="1" s="1"/>
  <c r="AB93" i="1" s="1"/>
  <c r="AA92" i="1"/>
  <c r="V92" i="1"/>
  <c r="Z92" i="1" s="1"/>
  <c r="AB92" i="1" s="1"/>
  <c r="T92" i="1"/>
  <c r="AA91" i="1"/>
  <c r="Z91" i="1"/>
  <c r="AB91" i="1" s="1"/>
  <c r="R91" i="1"/>
  <c r="X91" i="1" s="1"/>
  <c r="AA90" i="1"/>
  <c r="X90" i="1"/>
  <c r="R90" i="1"/>
  <c r="Z90" i="1" s="1"/>
  <c r="AB90" i="1" s="1"/>
  <c r="AA89" i="1"/>
  <c r="R89" i="1"/>
  <c r="X89" i="1" s="1"/>
  <c r="AA88" i="1"/>
  <c r="X88" i="1"/>
  <c r="U88" i="1"/>
  <c r="Z88" i="1" s="1"/>
  <c r="AB88" i="1" s="1"/>
  <c r="AA87" i="1"/>
  <c r="Z87" i="1"/>
  <c r="AB87" i="1" s="1"/>
  <c r="X87" i="1"/>
  <c r="AA86" i="1"/>
  <c r="Z86" i="1"/>
  <c r="AB86" i="1" s="1"/>
  <c r="X86" i="1"/>
  <c r="AA85" i="1"/>
  <c r="Z85" i="1"/>
  <c r="AB85" i="1" s="1"/>
  <c r="R85" i="1"/>
  <c r="X85" i="1" s="1"/>
  <c r="AA84" i="1"/>
  <c r="Z84" i="1"/>
  <c r="X84" i="1"/>
  <c r="AA83" i="1"/>
  <c r="X83" i="1"/>
  <c r="S83" i="1"/>
  <c r="Z83" i="1" s="1"/>
  <c r="AB83" i="1" s="1"/>
  <c r="AA82" i="1"/>
  <c r="Z82" i="1"/>
  <c r="AB82" i="1" s="1"/>
  <c r="T82" i="1"/>
  <c r="X82" i="1" s="1"/>
  <c r="AA81" i="1"/>
  <c r="X81" i="1"/>
  <c r="S81" i="1"/>
  <c r="Z81" i="1" s="1"/>
  <c r="AB81" i="1" s="1"/>
  <c r="AA80" i="1"/>
  <c r="Z80" i="1"/>
  <c r="AB80" i="1" s="1"/>
  <c r="X80" i="1"/>
  <c r="AA79" i="1"/>
  <c r="V79" i="1"/>
  <c r="V118" i="1" s="1"/>
  <c r="V74" i="1" s="1"/>
  <c r="U79" i="1"/>
  <c r="AA78" i="1"/>
  <c r="Z78" i="1"/>
  <c r="AB78" i="1" s="1"/>
  <c r="X78" i="1"/>
  <c r="AA77" i="1"/>
  <c r="Z77" i="1"/>
  <c r="AB77" i="1" s="1"/>
  <c r="Q77" i="1"/>
  <c r="AA76" i="1"/>
  <c r="AA118" i="1" s="1"/>
  <c r="AA74" i="1" s="1"/>
  <c r="U76" i="1"/>
  <c r="U118" i="1" s="1"/>
  <c r="T76" i="1"/>
  <c r="T118" i="1" s="1"/>
  <c r="T74" i="1" s="1"/>
  <c r="S76" i="1"/>
  <c r="S118" i="1" s="1"/>
  <c r="S74" i="1" s="1"/>
  <c r="R76" i="1"/>
  <c r="AA75" i="1"/>
  <c r="Z75" i="1"/>
  <c r="X75" i="1"/>
  <c r="Y74" i="1"/>
  <c r="W74" i="1"/>
  <c r="U74" i="1"/>
  <c r="O74" i="1"/>
  <c r="M74" i="1"/>
  <c r="K74" i="1"/>
  <c r="I74" i="1"/>
  <c r="G74" i="1"/>
  <c r="E74" i="1"/>
  <c r="C74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A72" i="1"/>
  <c r="Z72" i="1"/>
  <c r="AB72" i="1" s="1"/>
  <c r="X72" i="1"/>
  <c r="AA71" i="1"/>
  <c r="Z71" i="1"/>
  <c r="X71" i="1"/>
  <c r="AA70" i="1"/>
  <c r="Z70" i="1"/>
  <c r="AB70" i="1" s="1"/>
  <c r="X70" i="1"/>
  <c r="AA69" i="1"/>
  <c r="Z69" i="1"/>
  <c r="X69" i="1"/>
  <c r="AA68" i="1"/>
  <c r="Z68" i="1"/>
  <c r="AB68" i="1" s="1"/>
  <c r="X68" i="1"/>
  <c r="AA67" i="1"/>
  <c r="Z67" i="1"/>
  <c r="AB67" i="1" s="1"/>
  <c r="X67" i="1"/>
  <c r="AA66" i="1"/>
  <c r="Z66" i="1"/>
  <c r="AB66" i="1" s="1"/>
  <c r="X66" i="1"/>
  <c r="AA65" i="1"/>
  <c r="Z65" i="1"/>
  <c r="AB65" i="1" s="1"/>
  <c r="X65" i="1"/>
  <c r="AA64" i="1"/>
  <c r="X64" i="1"/>
  <c r="X73" i="1" s="1"/>
  <c r="S64" i="1"/>
  <c r="Z64" i="1" s="1"/>
  <c r="AB64" i="1" s="1"/>
  <c r="AA63" i="1"/>
  <c r="Z63" i="1"/>
  <c r="X63" i="1"/>
  <c r="W62" i="1"/>
  <c r="V62" i="1"/>
  <c r="U62" i="1"/>
  <c r="T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A61" i="1"/>
  <c r="X61" i="1"/>
  <c r="Q61" i="1"/>
  <c r="Z61" i="1" s="1"/>
  <c r="AB61" i="1" s="1"/>
  <c r="AA60" i="1"/>
  <c r="Z60" i="1"/>
  <c r="AB60" i="1" s="1"/>
  <c r="X60" i="1"/>
  <c r="AA59" i="1"/>
  <c r="Z59" i="1"/>
  <c r="AB59" i="1" s="1"/>
  <c r="Q59" i="1"/>
  <c r="X59" i="1" s="1"/>
  <c r="AA58" i="1"/>
  <c r="Z58" i="1"/>
  <c r="X58" i="1"/>
  <c r="X57" i="1"/>
  <c r="AA56" i="1"/>
  <c r="Z56" i="1"/>
  <c r="AB56" i="1" s="1"/>
  <c r="X56" i="1"/>
  <c r="AA55" i="1"/>
  <c r="Z55" i="1"/>
  <c r="AB55" i="1" s="1"/>
  <c r="X55" i="1"/>
  <c r="AA54" i="1"/>
  <c r="Z54" i="1"/>
  <c r="AB54" i="1" s="1"/>
  <c r="S54" i="1"/>
  <c r="S62" i="1" s="1"/>
  <c r="R54" i="1"/>
  <c r="X54" i="1" s="1"/>
  <c r="AA53" i="1"/>
  <c r="R53" i="1"/>
  <c r="R62" i="1" s="1"/>
  <c r="R39" i="1" s="1"/>
  <c r="Q53" i="1"/>
  <c r="Q62" i="1" s="1"/>
  <c r="AA52" i="1"/>
  <c r="Z52" i="1"/>
  <c r="AB52" i="1" s="1"/>
  <c r="X52" i="1"/>
  <c r="AA51" i="1"/>
  <c r="AA62" i="1" s="1"/>
  <c r="Z51" i="1"/>
  <c r="X51" i="1"/>
  <c r="W50" i="1"/>
  <c r="V50" i="1"/>
  <c r="U50" i="1"/>
  <c r="T50" i="1"/>
  <c r="S50" i="1"/>
  <c r="R50" i="1"/>
  <c r="P50" i="1"/>
  <c r="O50" i="1"/>
  <c r="N50" i="1"/>
  <c r="M50" i="1"/>
  <c r="K50" i="1"/>
  <c r="J50" i="1"/>
  <c r="H50" i="1"/>
  <c r="G50" i="1"/>
  <c r="F50" i="1"/>
  <c r="E50" i="1"/>
  <c r="D50" i="1"/>
  <c r="C50" i="1"/>
  <c r="B50" i="1"/>
  <c r="AA49" i="1"/>
  <c r="X49" i="1"/>
  <c r="Q49" i="1"/>
  <c r="Z49" i="1" s="1"/>
  <c r="AB49" i="1" s="1"/>
  <c r="AA48" i="1"/>
  <c r="Z48" i="1"/>
  <c r="AB48" i="1" s="1"/>
  <c r="Q48" i="1"/>
  <c r="Q50" i="1" s="1"/>
  <c r="P48" i="1"/>
  <c r="X48" i="1" s="1"/>
  <c r="AA47" i="1"/>
  <c r="Z47" i="1"/>
  <c r="AB47" i="1" s="1"/>
  <c r="X47" i="1"/>
  <c r="AA46" i="1"/>
  <c r="Z46" i="1"/>
  <c r="AB46" i="1" s="1"/>
  <c r="X46" i="1"/>
  <c r="AA45" i="1"/>
  <c r="Z45" i="1"/>
  <c r="AB45" i="1" s="1"/>
  <c r="X45" i="1"/>
  <c r="AA44" i="1"/>
  <c r="I44" i="1"/>
  <c r="AA43" i="1"/>
  <c r="X43" i="1"/>
  <c r="J43" i="1"/>
  <c r="Z43" i="1" s="1"/>
  <c r="AB43" i="1" s="1"/>
  <c r="AA42" i="1"/>
  <c r="Z42" i="1"/>
  <c r="AB42" i="1" s="1"/>
  <c r="L42" i="1"/>
  <c r="X42" i="1" s="1"/>
  <c r="AA41" i="1"/>
  <c r="AA50" i="1" s="1"/>
  <c r="P41" i="1"/>
  <c r="N41" i="1"/>
  <c r="Z41" i="1" s="1"/>
  <c r="AA40" i="1"/>
  <c r="Z40" i="1"/>
  <c r="W39" i="1"/>
  <c r="V39" i="1"/>
  <c r="U39" i="1"/>
  <c r="T39" i="1"/>
  <c r="S39" i="1"/>
  <c r="Q39" i="1"/>
  <c r="P39" i="1"/>
  <c r="O39" i="1"/>
  <c r="N39" i="1"/>
  <c r="M39" i="1"/>
  <c r="K39" i="1"/>
  <c r="J39" i="1"/>
  <c r="H39" i="1"/>
  <c r="G39" i="1"/>
  <c r="F39" i="1"/>
  <c r="E39" i="1"/>
  <c r="D39" i="1"/>
  <c r="C39" i="1"/>
  <c r="B39" i="1"/>
  <c r="Y38" i="1"/>
  <c r="W38" i="1"/>
  <c r="T38" i="1"/>
  <c r="R38" i="1"/>
  <c r="P38" i="1"/>
  <c r="O38" i="1"/>
  <c r="N38" i="1"/>
  <c r="L38" i="1"/>
  <c r="K38" i="1"/>
  <c r="J38" i="1"/>
  <c r="I38" i="1"/>
  <c r="H38" i="1"/>
  <c r="G38" i="1"/>
  <c r="F38" i="1"/>
  <c r="E38" i="1"/>
  <c r="D38" i="1"/>
  <c r="C38" i="1"/>
  <c r="B38" i="1"/>
  <c r="AA37" i="1"/>
  <c r="U37" i="1"/>
  <c r="U38" i="1" s="1"/>
  <c r="S37" i="1"/>
  <c r="Q37" i="1"/>
  <c r="Q38" i="1" s="1"/>
  <c r="M37" i="1"/>
  <c r="X37" i="1" s="1"/>
  <c r="AA36" i="1"/>
  <c r="V36" i="1"/>
  <c r="V38" i="1" s="1"/>
  <c r="U36" i="1"/>
  <c r="S36" i="1"/>
  <c r="Q36" i="1"/>
  <c r="M36" i="1"/>
  <c r="X36" i="1" s="1"/>
  <c r="AA35" i="1"/>
  <c r="U35" i="1"/>
  <c r="S35" i="1"/>
  <c r="S38" i="1" s="1"/>
  <c r="Q35" i="1"/>
  <c r="M35" i="1"/>
  <c r="Z35" i="1" s="1"/>
  <c r="AB35" i="1" s="1"/>
  <c r="AA34" i="1"/>
  <c r="AA38" i="1" s="1"/>
  <c r="Z34" i="1"/>
  <c r="X34" i="1"/>
  <c r="W33" i="1"/>
  <c r="V33" i="1"/>
  <c r="T33" i="1"/>
  <c r="R33" i="1"/>
  <c r="P33" i="1"/>
  <c r="O33" i="1"/>
  <c r="N33" i="1"/>
  <c r="L33" i="1"/>
  <c r="K33" i="1"/>
  <c r="J33" i="1"/>
  <c r="I33" i="1"/>
  <c r="H33" i="1"/>
  <c r="G33" i="1"/>
  <c r="F33" i="1"/>
  <c r="E33" i="1"/>
  <c r="D33" i="1"/>
  <c r="C33" i="1"/>
  <c r="B33" i="1"/>
  <c r="AA32" i="1"/>
  <c r="U32" i="1"/>
  <c r="U33" i="1" s="1"/>
  <c r="S32" i="1"/>
  <c r="Q32" i="1"/>
  <c r="M32" i="1"/>
  <c r="Z32" i="1" s="1"/>
  <c r="AB32" i="1" s="1"/>
  <c r="AA31" i="1"/>
  <c r="AA33" i="1" s="1"/>
  <c r="V31" i="1"/>
  <c r="S31" i="1"/>
  <c r="S33" i="1" s="1"/>
  <c r="Q31" i="1"/>
  <c r="Q33" i="1" s="1"/>
  <c r="M31" i="1"/>
  <c r="M33" i="1" s="1"/>
  <c r="AA30" i="1"/>
  <c r="Z30" i="1"/>
  <c r="AB30" i="1" s="1"/>
  <c r="X30" i="1"/>
  <c r="W29" i="1"/>
  <c r="T29" i="1"/>
  <c r="R29" i="1"/>
  <c r="P29" i="1"/>
  <c r="O29" i="1"/>
  <c r="L29" i="1"/>
  <c r="K29" i="1"/>
  <c r="J29" i="1"/>
  <c r="I29" i="1"/>
  <c r="H29" i="1"/>
  <c r="G29" i="1"/>
  <c r="F29" i="1"/>
  <c r="E29" i="1"/>
  <c r="D29" i="1"/>
  <c r="C29" i="1"/>
  <c r="B29" i="1"/>
  <c r="AA28" i="1"/>
  <c r="U28" i="1"/>
  <c r="S28" i="1"/>
  <c r="Q28" i="1"/>
  <c r="N28" i="1"/>
  <c r="X28" i="1" s="1"/>
  <c r="M28" i="1"/>
  <c r="Z28" i="1" s="1"/>
  <c r="AB28" i="1" s="1"/>
  <c r="AA27" i="1"/>
  <c r="V27" i="1"/>
  <c r="V29" i="1" s="1"/>
  <c r="U27" i="1"/>
  <c r="S27" i="1"/>
  <c r="Q27" i="1"/>
  <c r="N27" i="1"/>
  <c r="N15" i="1" s="1"/>
  <c r="M27" i="1"/>
  <c r="X27" i="1" s="1"/>
  <c r="AA26" i="1"/>
  <c r="U26" i="1"/>
  <c r="U29" i="1" s="1"/>
  <c r="S26" i="1"/>
  <c r="S29" i="1" s="1"/>
  <c r="Q26" i="1"/>
  <c r="N26" i="1"/>
  <c r="M26" i="1"/>
  <c r="X26" i="1" s="1"/>
  <c r="AA25" i="1"/>
  <c r="AA29" i="1" s="1"/>
  <c r="Q25" i="1"/>
  <c r="Q29" i="1" s="1"/>
  <c r="M25" i="1"/>
  <c r="M29" i="1" s="1"/>
  <c r="AA24" i="1"/>
  <c r="Z24" i="1"/>
  <c r="AB24" i="1" s="1"/>
  <c r="X24" i="1"/>
  <c r="R23" i="1"/>
  <c r="P23" i="1"/>
  <c r="O23" i="1"/>
  <c r="L23" i="1"/>
  <c r="K23" i="1"/>
  <c r="J23" i="1"/>
  <c r="I23" i="1"/>
  <c r="H23" i="1"/>
  <c r="G23" i="1"/>
  <c r="F23" i="1"/>
  <c r="E23" i="1"/>
  <c r="D23" i="1"/>
  <c r="C23" i="1"/>
  <c r="B23" i="1"/>
  <c r="AA22" i="1"/>
  <c r="X22" i="1"/>
  <c r="Q22" i="1"/>
  <c r="Z22" i="1" s="1"/>
  <c r="AB22" i="1" s="1"/>
  <c r="AA21" i="1"/>
  <c r="Q21" i="1"/>
  <c r="X21" i="1" s="1"/>
  <c r="AA20" i="1"/>
  <c r="X20" i="1"/>
  <c r="T20" i="1"/>
  <c r="Z20" i="1" s="1"/>
  <c r="AB20" i="1" s="1"/>
  <c r="AA19" i="1"/>
  <c r="Z19" i="1"/>
  <c r="AB19" i="1" s="1"/>
  <c r="X19" i="1"/>
  <c r="AA18" i="1"/>
  <c r="Q18" i="1"/>
  <c r="X18" i="1" s="1"/>
  <c r="AA17" i="1"/>
  <c r="U17" i="1"/>
  <c r="Q17" i="1"/>
  <c r="AA16" i="1"/>
  <c r="Q16" i="1"/>
  <c r="N16" i="1"/>
  <c r="M16" i="1"/>
  <c r="X16" i="1" s="1"/>
  <c r="AA15" i="1"/>
  <c r="W15" i="1"/>
  <c r="W23" i="1" s="1"/>
  <c r="W5" i="1" s="1"/>
  <c r="W4" i="1" s="1"/>
  <c r="V15" i="1"/>
  <c r="V23" i="1" s="1"/>
  <c r="V5" i="1" s="1"/>
  <c r="V4" i="1" s="1"/>
  <c r="U15" i="1"/>
  <c r="Q15" i="1"/>
  <c r="M15" i="1"/>
  <c r="AA14" i="1"/>
  <c r="AA23" i="1" s="1"/>
  <c r="AA5" i="1" s="1"/>
  <c r="AA4" i="1" s="1"/>
  <c r="U14" i="1"/>
  <c r="S14" i="1"/>
  <c r="Q14" i="1"/>
  <c r="N14" i="1"/>
  <c r="N23" i="1" s="1"/>
  <c r="AA13" i="1"/>
  <c r="T13" i="1"/>
  <c r="T23" i="1" s="1"/>
  <c r="T5" i="1" s="1"/>
  <c r="T4" i="1" s="1"/>
  <c r="T210" i="1" s="1"/>
  <c r="S13" i="1"/>
  <c r="X13" i="1" s="1"/>
  <c r="AA12" i="1"/>
  <c r="U12" i="1"/>
  <c r="U23" i="1" s="1"/>
  <c r="S12" i="1"/>
  <c r="S23" i="1" s="1"/>
  <c r="S5" i="1" s="1"/>
  <c r="S4" i="1" s="1"/>
  <c r="S210" i="1" s="1"/>
  <c r="AA11" i="1"/>
  <c r="Z11" i="1"/>
  <c r="AB11" i="1" s="1"/>
  <c r="Q11" i="1"/>
  <c r="Q23" i="1" s="1"/>
  <c r="M11" i="1"/>
  <c r="AA10" i="1"/>
  <c r="Z10" i="1"/>
  <c r="AB10" i="1" s="1"/>
  <c r="X10" i="1"/>
  <c r="AA9" i="1"/>
  <c r="Z9" i="1"/>
  <c r="AB9" i="1" s="1"/>
  <c r="X9" i="1"/>
  <c r="AA8" i="1"/>
  <c r="Z8" i="1"/>
  <c r="AB8" i="1" s="1"/>
  <c r="X8" i="1"/>
  <c r="AA7" i="1"/>
  <c r="Z7" i="1"/>
  <c r="X7" i="1"/>
  <c r="AA6" i="1"/>
  <c r="Z6" i="1"/>
  <c r="AB6" i="1" s="1"/>
  <c r="R5" i="1"/>
  <c r="P5" i="1"/>
  <c r="O5" i="1"/>
  <c r="L5" i="1"/>
  <c r="K5" i="1"/>
  <c r="J5" i="1"/>
  <c r="I5" i="1"/>
  <c r="H5" i="1"/>
  <c r="G5" i="1"/>
  <c r="F5" i="1"/>
  <c r="E5" i="1"/>
  <c r="D5" i="1"/>
  <c r="C5" i="1"/>
  <c r="B5" i="1"/>
  <c r="R4" i="1"/>
  <c r="P4" i="1"/>
  <c r="P210" i="1" s="1"/>
  <c r="O4" i="1"/>
  <c r="O210" i="1" s="1"/>
  <c r="L4" i="1"/>
  <c r="K4" i="1"/>
  <c r="K210" i="1" s="1"/>
  <c r="J4" i="1"/>
  <c r="I4" i="1"/>
  <c r="H4" i="1"/>
  <c r="H210" i="1" s="1"/>
  <c r="G4" i="1"/>
  <c r="F4" i="1"/>
  <c r="F210" i="1" s="1"/>
  <c r="E4" i="1"/>
  <c r="E210" i="1" s="1"/>
  <c r="D4" i="1"/>
  <c r="D210" i="1" s="1"/>
  <c r="C4" i="1"/>
  <c r="C210" i="1" s="1"/>
  <c r="B4" i="1"/>
  <c r="B210" i="1" s="1"/>
  <c r="Q5" i="1" l="1"/>
  <c r="Q4" i="1" s="1"/>
  <c r="U5" i="1"/>
  <c r="U4" i="1" s="1"/>
  <c r="Z15" i="1"/>
  <c r="AB15" i="1" s="1"/>
  <c r="X38" i="1"/>
  <c r="R210" i="1"/>
  <c r="AB7" i="1"/>
  <c r="Z13" i="1"/>
  <c r="AB13" i="1" s="1"/>
  <c r="X15" i="1"/>
  <c r="Z16" i="1"/>
  <c r="AB16" i="1" s="1"/>
  <c r="Z18" i="1"/>
  <c r="AB18" i="1" s="1"/>
  <c r="Z26" i="1"/>
  <c r="AB26" i="1" s="1"/>
  <c r="Z27" i="1"/>
  <c r="AB27" i="1" s="1"/>
  <c r="N29" i="1"/>
  <c r="N5" i="1" s="1"/>
  <c r="N4" i="1" s="1"/>
  <c r="N210" i="1" s="1"/>
  <c r="X31" i="1"/>
  <c r="X33" i="1" s="1"/>
  <c r="X32" i="1"/>
  <c r="X35" i="1"/>
  <c r="Z36" i="1"/>
  <c r="AB36" i="1" s="1"/>
  <c r="Z37" i="1"/>
  <c r="AB37" i="1" s="1"/>
  <c r="M38" i="1"/>
  <c r="I50" i="1"/>
  <c r="I39" i="1" s="1"/>
  <c r="X44" i="1"/>
  <c r="Z12" i="1"/>
  <c r="AB12" i="1" s="1"/>
  <c r="Z21" i="1"/>
  <c r="AB21" i="1" s="1"/>
  <c r="X25" i="1"/>
  <c r="X29" i="1" s="1"/>
  <c r="G210" i="1"/>
  <c r="X11" i="1"/>
  <c r="X12" i="1"/>
  <c r="M14" i="1"/>
  <c r="M17" i="1"/>
  <c r="Z25" i="1"/>
  <c r="Z31" i="1"/>
  <c r="AB34" i="1"/>
  <c r="AB38" i="1" s="1"/>
  <c r="AB40" i="1"/>
  <c r="Z50" i="1"/>
  <c r="AB41" i="1"/>
  <c r="X41" i="1"/>
  <c r="X50" i="1" s="1"/>
  <c r="Z44" i="1"/>
  <c r="AB44" i="1" s="1"/>
  <c r="L50" i="1"/>
  <c r="L39" i="1" s="1"/>
  <c r="L210" i="1" s="1"/>
  <c r="Z53" i="1"/>
  <c r="AB53" i="1" s="1"/>
  <c r="AB58" i="1"/>
  <c r="AA73" i="1"/>
  <c r="AA39" i="1" s="1"/>
  <c r="AB69" i="1"/>
  <c r="AB73" i="1" s="1"/>
  <c r="AB71" i="1"/>
  <c r="Z73" i="1"/>
  <c r="AB75" i="1"/>
  <c r="R118" i="1"/>
  <c r="R74" i="1" s="1"/>
  <c r="Z76" i="1"/>
  <c r="X76" i="1"/>
  <c r="Q118" i="1"/>
  <c r="Q74" i="1" s="1"/>
  <c r="X77" i="1"/>
  <c r="X79" i="1"/>
  <c r="Z79" i="1"/>
  <c r="AB79" i="1" s="1"/>
  <c r="AB84" i="1"/>
  <c r="Z89" i="1"/>
  <c r="AB89" i="1" s="1"/>
  <c r="X92" i="1"/>
  <c r="AB94" i="1"/>
  <c r="X94" i="1"/>
  <c r="AB96" i="1"/>
  <c r="X102" i="1"/>
  <c r="Z105" i="1"/>
  <c r="AB105" i="1" s="1"/>
  <c r="AB108" i="1"/>
  <c r="Z140" i="1"/>
  <c r="AB145" i="1"/>
  <c r="V141" i="1"/>
  <c r="V148" i="1"/>
  <c r="AB51" i="1"/>
  <c r="X53" i="1"/>
  <c r="X62" i="1" s="1"/>
  <c r="X110" i="1"/>
  <c r="X115" i="1"/>
  <c r="Z122" i="1"/>
  <c r="AB122" i="1" s="1"/>
  <c r="AB140" i="1" s="1"/>
  <c r="X123" i="1"/>
  <c r="Z124" i="1"/>
  <c r="AB124" i="1" s="1"/>
  <c r="X126" i="1"/>
  <c r="Z130" i="1"/>
  <c r="AB130" i="1" s="1"/>
  <c r="X131" i="1"/>
  <c r="X133" i="1"/>
  <c r="AB144" i="1"/>
  <c r="AA145" i="1"/>
  <c r="AA147" i="1" s="1"/>
  <c r="AA141" i="1" s="1"/>
  <c r="X145" i="1"/>
  <c r="W147" i="1"/>
  <c r="AB152" i="1"/>
  <c r="X160" i="1"/>
  <c r="Z160" i="1"/>
  <c r="AB160" i="1" s="1"/>
  <c r="W166" i="1"/>
  <c r="W148" i="1" s="1"/>
  <c r="AA162" i="1"/>
  <c r="AA166" i="1" s="1"/>
  <c r="AA148" i="1" s="1"/>
  <c r="Q166" i="1"/>
  <c r="Q148" i="1" s="1"/>
  <c r="X164" i="1"/>
  <c r="X166" i="1" s="1"/>
  <c r="X148" i="1" s="1"/>
  <c r="Y187" i="1"/>
  <c r="Z187" i="1"/>
  <c r="AA187" i="1" s="1"/>
  <c r="X122" i="1"/>
  <c r="X140" i="1" s="1"/>
  <c r="X147" i="1"/>
  <c r="U166" i="1"/>
  <c r="X154" i="1"/>
  <c r="Z170" i="1"/>
  <c r="AB170" i="1" s="1"/>
  <c r="G172" i="1"/>
  <c r="G167" i="1" s="1"/>
  <c r="X186" i="1"/>
  <c r="V186" i="1"/>
  <c r="V210" i="1" s="1"/>
  <c r="Z181" i="1"/>
  <c r="AB181" i="1" s="1"/>
  <c r="AB186" i="1" s="1"/>
  <c r="X190" i="1"/>
  <c r="Z190" i="1"/>
  <c r="AB190" i="1" s="1"/>
  <c r="W199" i="1"/>
  <c r="AA196" i="1"/>
  <c r="AB196" i="1" s="1"/>
  <c r="AB199" i="1" s="1"/>
  <c r="X196" i="1"/>
  <c r="X199" i="1" s="1"/>
  <c r="Z143" i="1"/>
  <c r="Z150" i="1"/>
  <c r="X172" i="1"/>
  <c r="I172" i="1"/>
  <c r="I167" i="1" s="1"/>
  <c r="I210" i="1" s="1"/>
  <c r="Y167" i="1"/>
  <c r="Z179" i="1"/>
  <c r="J179" i="1"/>
  <c r="J167" i="1" s="1"/>
  <c r="J210" i="1" s="1"/>
  <c r="X177" i="1"/>
  <c r="X179" i="1" s="1"/>
  <c r="X181" i="1"/>
  <c r="AB184" i="1"/>
  <c r="AA199" i="1"/>
  <c r="AB197" i="1"/>
  <c r="AB201" i="1"/>
  <c r="Z203" i="1"/>
  <c r="AA204" i="1"/>
  <c r="AA209" i="1" s="1"/>
  <c r="AB205" i="1"/>
  <c r="AB207" i="1"/>
  <c r="N209" i="1"/>
  <c r="X208" i="1"/>
  <c r="AB204" i="1"/>
  <c r="I209" i="1"/>
  <c r="AB169" i="1"/>
  <c r="AB172" i="1" s="1"/>
  <c r="AB167" i="1" s="1"/>
  <c r="AB176" i="1"/>
  <c r="AB179" i="1" s="1"/>
  <c r="X192" i="1"/>
  <c r="X193" i="1" s="1"/>
  <c r="Z192" i="1"/>
  <c r="X204" i="1"/>
  <c r="Y204" i="1" s="1"/>
  <c r="AA210" i="1" l="1"/>
  <c r="Z209" i="1"/>
  <c r="AB203" i="1"/>
  <c r="AB209" i="1" s="1"/>
  <c r="X209" i="1"/>
  <c r="AB150" i="1"/>
  <c r="Z166" i="1"/>
  <c r="Z148" i="1" s="1"/>
  <c r="Z172" i="1"/>
  <c r="Z167" i="1" s="1"/>
  <c r="U148" i="1"/>
  <c r="U141" i="1"/>
  <c r="X141" i="1"/>
  <c r="Z118" i="1"/>
  <c r="Z74" i="1" s="1"/>
  <c r="AB76" i="1"/>
  <c r="AB118" i="1" s="1"/>
  <c r="X39" i="1"/>
  <c r="Z29" i="1"/>
  <c r="AB25" i="1"/>
  <c r="AB29" i="1" s="1"/>
  <c r="Z14" i="1"/>
  <c r="AB14" i="1" s="1"/>
  <c r="X14" i="1"/>
  <c r="AB162" i="1"/>
  <c r="Z38" i="1"/>
  <c r="AB192" i="1"/>
  <c r="AB193" i="1" s="1"/>
  <c r="Z193" i="1"/>
  <c r="X167" i="1"/>
  <c r="Z147" i="1"/>
  <c r="Z141" i="1" s="1"/>
  <c r="AB143" i="1"/>
  <c r="AB147" i="1" s="1"/>
  <c r="Z186" i="1"/>
  <c r="AB187" i="1"/>
  <c r="W141" i="1"/>
  <c r="W210" i="1" s="1"/>
  <c r="AB62" i="1"/>
  <c r="Q141" i="1"/>
  <c r="Q210" i="1" s="1"/>
  <c r="X118" i="1"/>
  <c r="X74" i="1" s="1"/>
  <c r="Z62" i="1"/>
  <c r="Z39" i="1" s="1"/>
  <c r="AB50" i="1"/>
  <c r="AB39" i="1" s="1"/>
  <c r="Z33" i="1"/>
  <c r="AB31" i="1"/>
  <c r="AB33" i="1" s="1"/>
  <c r="Z17" i="1"/>
  <c r="AB17" i="1" s="1"/>
  <c r="X17" i="1"/>
  <c r="AB23" i="1"/>
  <c r="AB5" i="1" s="1"/>
  <c r="AB4" i="1" s="1"/>
  <c r="U210" i="1"/>
  <c r="Z23" i="1"/>
  <c r="Z5" i="1" s="1"/>
  <c r="Z4" i="1" s="1"/>
  <c r="M23" i="1"/>
  <c r="M5" i="1" s="1"/>
  <c r="M4" i="1" s="1"/>
  <c r="M210" i="1" s="1"/>
  <c r="Z210" i="1" l="1"/>
  <c r="AC118" i="1"/>
  <c r="AB74" i="1"/>
  <c r="X23" i="1"/>
  <c r="Y67" i="1" s="1"/>
  <c r="AB166" i="1"/>
  <c r="AB148" i="1" s="1"/>
  <c r="AB141" i="1" l="1"/>
  <c r="AB210" i="1" s="1"/>
  <c r="X5" i="1"/>
  <c r="X4" i="1" s="1"/>
  <c r="X210" i="1" s="1"/>
  <c r="Y66" i="1"/>
  <c r="Y68" i="1"/>
  <c r="Y52" i="1"/>
  <c r="Y65" i="1"/>
  <c r="Y73" i="1" l="1"/>
  <c r="Y39" i="1" s="1"/>
  <c r="AB214" i="1"/>
</calcChain>
</file>

<file path=xl/sharedStrings.xml><?xml version="1.0" encoding="utf-8"?>
<sst xmlns="http://schemas.openxmlformats.org/spreadsheetml/2006/main" count="229" uniqueCount="213">
  <si>
    <t>CUENTAS POR PAGAR A SEPTIEMBRE 2021</t>
  </si>
  <si>
    <t xml:space="preserve">CONCEPTO </t>
  </si>
  <si>
    <t>AÑO 2000</t>
  </si>
  <si>
    <t>AÑO 2001</t>
  </si>
  <si>
    <t>AÑO 2002</t>
  </si>
  <si>
    <t>AÑO 2003</t>
  </si>
  <si>
    <t>AÑO 2004</t>
  </si>
  <si>
    <t>AÑO 2005</t>
  </si>
  <si>
    <t>AÑO 2006</t>
  </si>
  <si>
    <t>AÑO 2007</t>
  </si>
  <si>
    <t>AÑO 2008</t>
  </si>
  <si>
    <t>AÑO 2009</t>
  </si>
  <si>
    <t>AÑO 2010</t>
  </si>
  <si>
    <t>AÑO 2011</t>
  </si>
  <si>
    <t>AÑO 2012</t>
  </si>
  <si>
    <t>AÑO 2013</t>
  </si>
  <si>
    <t xml:space="preserve">TOTAL </t>
  </si>
  <si>
    <t>Saldo mayor</t>
  </si>
  <si>
    <t>Saldo menor</t>
  </si>
  <si>
    <t>total</t>
  </si>
  <si>
    <t>a 360 dias</t>
  </si>
  <si>
    <t>OBLIGACIONES LABORALES</t>
  </si>
  <si>
    <t>NOMINAS</t>
  </si>
  <si>
    <t>SUELDO POR PAGAR</t>
  </si>
  <si>
    <t>Reajuste de sueldo (Dairis $1.329.660,Himelda$ 690,751Carmen $690,751,Rosa $48,239,  Elisabet $48239)</t>
  </si>
  <si>
    <t xml:space="preserve">Aurora Buzon </t>
  </si>
  <si>
    <t>Geovanny Lacouture Jimenez retroactivo 2020</t>
  </si>
  <si>
    <t>Lorena Quintero Acosta  y dic 2011 y ene  2012 yoct , nov y dic 2015</t>
  </si>
  <si>
    <t>Dairis Armenta Muegues nov y dic 2011 y ene  2012  Y nov DIC 2015 y marzo 2016</t>
  </si>
  <si>
    <t>Jose jaime Arias Ariza  NOVIEMBRE Y DICIEMBRE 2017 AGO A DIC  2018</t>
  </si>
  <si>
    <t>Dayana Patricia Romero Vergara  mes de cic 2017</t>
  </si>
  <si>
    <t>Carmen Fuentes Salas  dic 2011 y ene  2012 oc nov y dic de 2015 marzo 2017 AGS  2018</t>
  </si>
  <si>
    <t>Rosa Martinez Herrerra  dic 2011 y ene  2012 yoct , nov y dic 2015 marzo 2017JULIO A DIC 2018</t>
  </si>
  <si>
    <t>Himelda Daza Balcazar dic 2011 y ene 2012 y oct , nov y dic 2015 mazo 2017</t>
  </si>
  <si>
    <t>Elizabeth Muegues Camelo  dic 2011 y ene  2012 y oct , nov y dic 2015 marzo 2017 AGOS A DIC 2018</t>
  </si>
  <si>
    <t>Maria Angel Cabrera Diaz oct , nov y dic 2015</t>
  </si>
  <si>
    <t>Aizo Lorenith Ustariz Redondo MARZO 2017</t>
  </si>
  <si>
    <t xml:space="preserve">Carlos David Poveda Celedon </t>
  </si>
  <si>
    <t>Alberto Carlos Romero Dangond Enero y febrero 2015</t>
  </si>
  <si>
    <t>Carlos Mario Rumbo Manjarrez oct , nov y dic 2015</t>
  </si>
  <si>
    <t>TOTAL SUELDOS</t>
  </si>
  <si>
    <t>PRIMA DE ANTIGÜEDAD</t>
  </si>
  <si>
    <t>Himelda Daza Balcazar</t>
  </si>
  <si>
    <t>Carmen Fuentes Salas</t>
  </si>
  <si>
    <t>Rosa Martinez Herrerra</t>
  </si>
  <si>
    <t>Elizabeth Muegues Camelo</t>
  </si>
  <si>
    <t>TOTAL PRIMA DE ANTIGÜEDAD</t>
  </si>
  <si>
    <t>AUXILIO DE TRANSPORTE</t>
  </si>
  <si>
    <t>TOTAL AXILIO DE TRANSPORTE</t>
  </si>
  <si>
    <t xml:space="preserve">SUBSIDIO DE ALIMENTACION </t>
  </si>
  <si>
    <t xml:space="preserve">TOTAL SUBSIDIO DE ALIMENTACION </t>
  </si>
  <si>
    <t>PRESTACIONES SOCIALES</t>
  </si>
  <si>
    <t>VACACIONES MAS BONIFICACIONES</t>
  </si>
  <si>
    <t>Himelda Daza</t>
  </si>
  <si>
    <t>JOSE JAIME ARIAS ARIZA</t>
  </si>
  <si>
    <t>Carlos David Poveda Celedon</t>
  </si>
  <si>
    <t>Alberto Carlos Romero Dangond + LIQUIDQCION</t>
  </si>
  <si>
    <t>Carlos Mario Rumbo Manjarrez+ Liquidacion</t>
  </si>
  <si>
    <t xml:space="preserve">TOTAL VACACIONES </t>
  </si>
  <si>
    <t>PRIMA DE NAVIDAD</t>
  </si>
  <si>
    <t>Himelda Daza Balcazar 2015-2016</t>
  </si>
  <si>
    <t>Carmen Fuentes Salas 2015-2016  -2017-2018-2019</t>
  </si>
  <si>
    <t>Rosa Martinez Herrerra 2015-20162017-2018-2019</t>
  </si>
  <si>
    <t>Elizabeth Muegues Camelo 2015-20162017-2018-2019</t>
  </si>
  <si>
    <t>Alberto Carlos Romero Dangond</t>
  </si>
  <si>
    <t>Jose jaime Arias Ariza</t>
  </si>
  <si>
    <t>Aizo Lorenith Ustariz Redondo</t>
  </si>
  <si>
    <t>Maria Angel Cabrera Diaz 2015- mas liquidacion</t>
  </si>
  <si>
    <t>Carlos Mario Rumbo Manjarrez 2015 y liquidacion</t>
  </si>
  <si>
    <t>TOTAL PRIMA DE NAVIDAD</t>
  </si>
  <si>
    <t>PRIMA DE SERVICIOS</t>
  </si>
  <si>
    <t>Carmen Fuentes</t>
  </si>
  <si>
    <t>Rosa Martinez</t>
  </si>
  <si>
    <t>Elizabeth Muegues</t>
  </si>
  <si>
    <t>Alberto Carlos Romero Dangond (LIQUIDACION)</t>
  </si>
  <si>
    <t>Carlos Mario Rumbo Manjarrez</t>
  </si>
  <si>
    <t>Maria A Cabrera- liquidacion</t>
  </si>
  <si>
    <t>TOTAL PRIMA DE SERVICIOS</t>
  </si>
  <si>
    <t>SERVICIOS PERSONALES INDIRECTOS</t>
  </si>
  <si>
    <t xml:space="preserve">HONORARIOS </t>
  </si>
  <si>
    <t>Ada Delia Gutierrez</t>
  </si>
  <si>
    <t>MARIA TERESA CALDERON</t>
  </si>
  <si>
    <t>ELKA MANJARREZ</t>
  </si>
  <si>
    <t>CARLOS JOSE SALAS PABON</t>
  </si>
  <si>
    <t xml:space="preserve">ELIANA VEGA </t>
  </si>
  <si>
    <t>ROBERTO LUIS HERNANDEZ LEON</t>
  </si>
  <si>
    <t>JAIME ARIZA</t>
  </si>
  <si>
    <t>FIDEL CASTRO TAPIAS</t>
  </si>
  <si>
    <t>YAINIS  BARCASNEGRAS GARIZABAL</t>
  </si>
  <si>
    <t>LORENA QUINTERO</t>
  </si>
  <si>
    <t>MARCELA OÑATE</t>
  </si>
  <si>
    <t>ANAZIZ HINBRETH LEON</t>
  </si>
  <si>
    <t xml:space="preserve">ERIKA PATRICIAMONTERROSA ROMERO </t>
  </si>
  <si>
    <t>GINA AMAYA ROMO</t>
  </si>
  <si>
    <t>Chirly Zuleta Diaz</t>
  </si>
  <si>
    <t>HERNAN BERMUDEZ</t>
  </si>
  <si>
    <t>CARLOS JOSE DAZA MALDONADO</t>
  </si>
  <si>
    <t>KAREN MARGARITA SALINAS BARLIZA</t>
  </si>
  <si>
    <t>YESICA PEREZ</t>
  </si>
  <si>
    <t>CLAUDIA PATRICIA VALENCIA HERNANDEZ</t>
  </si>
  <si>
    <t>GICIELYS PEREA ROMERO</t>
  </si>
  <si>
    <t>JOSE BOLIVAR MATTOS MANJARREZ</t>
  </si>
  <si>
    <t xml:space="preserve">HUBERTO USTARIZ </t>
  </si>
  <si>
    <t>HUBERTINA  ELENA MEZA ORCASITA</t>
  </si>
  <si>
    <t>MAIRETH GONZALEZ SAURITH</t>
  </si>
  <si>
    <t>LUCAS FABIAN MORON DURAN</t>
  </si>
  <si>
    <t>Walter Daza</t>
  </si>
  <si>
    <t>HAZEL GOMEZ</t>
  </si>
  <si>
    <t>KATY DURAN FRAGOZO</t>
  </si>
  <si>
    <t>Edulfo Villar Ustariz</t>
  </si>
  <si>
    <t>RUT MARI KATERINA OLIVERO CELEDON</t>
  </si>
  <si>
    <t>JHON ENRIQUE SILVA RAMIREZ</t>
  </si>
  <si>
    <t>ELIANA MARIA USTARIZ BARROS</t>
  </si>
  <si>
    <t>MARBIEL JIMENEZ ANGULO</t>
  </si>
  <si>
    <t>KATINA DIAZ ATENCIO</t>
  </si>
  <si>
    <t>IVAN JOSE NIÑO CHARRIS</t>
  </si>
  <si>
    <t>YENI GONZALEZ JASAYU</t>
  </si>
  <si>
    <t>MARTA LILIANA CORONADO FRAGOZO</t>
  </si>
  <si>
    <t>MILENA JUDITH DIAZ CROSWUAITE</t>
  </si>
  <si>
    <t>KAREN LORENA JULIO MENDOZA</t>
  </si>
  <si>
    <t>JENNIFER MORON PINTO</t>
  </si>
  <si>
    <t>MALKA VEGA</t>
  </si>
  <si>
    <t>TOTAL HONORARIOS</t>
  </si>
  <si>
    <t>SERVICIOS</t>
  </si>
  <si>
    <t>IVAN DARIO MEJIA PEREZ</t>
  </si>
  <si>
    <t>YAMIR LEONOR BOTELLO URDIALES</t>
  </si>
  <si>
    <t>YANYS RIVADENEIRA</t>
  </si>
  <si>
    <t>DIANA LARA</t>
  </si>
  <si>
    <t>EDINSON YESIT MUEGUES VASQUES</t>
  </si>
  <si>
    <t>CARLOS EDUARDO BORREGO</t>
  </si>
  <si>
    <t>ANA PASTORAMONTESINOS</t>
  </si>
  <si>
    <t>ZULMA ISABEL ROMERO GUERRA</t>
  </si>
  <si>
    <t>LUIS ANGEL JIMENEZ</t>
  </si>
  <si>
    <t xml:space="preserve">JOSE JORGE USTARIZ </t>
  </si>
  <si>
    <t>MARIA DELCARMEN VALENCIA FUENTES</t>
  </si>
  <si>
    <t>ANA HILDA ROMERO OSPINO</t>
  </si>
  <si>
    <t>FABIANA SALAS NORIEGA</t>
  </si>
  <si>
    <t xml:space="preserve">JOHALIN CUENTAS MOLINA </t>
  </si>
  <si>
    <t>MARIA DEL ROSARIO MEDINA MANJARREZ</t>
  </si>
  <si>
    <t>KATERINE PACHECO BOLAÑOS</t>
  </si>
  <si>
    <t>EDWAR SALAS</t>
  </si>
  <si>
    <t>YERALDIN ROSARIO MANJARREZ</t>
  </si>
  <si>
    <t>CARLOS DAVID FERNANDEZ</t>
  </si>
  <si>
    <t xml:space="preserve">TOTAL SERVICIOS </t>
  </si>
  <si>
    <t>TOTAL BIENE Y SERVICIOS</t>
  </si>
  <si>
    <t>MANTENIMIENTO</t>
  </si>
  <si>
    <t>Jose David Niño</t>
  </si>
  <si>
    <t>RODRIGO ALBERTO HERNANDEZ SARABIA</t>
  </si>
  <si>
    <t>TECNICA CONSULTA DIANA</t>
  </si>
  <si>
    <t xml:space="preserve">JOSE ARGNIS BERADINELLI </t>
  </si>
  <si>
    <t>TOTAL MANTENIMIENTO</t>
  </si>
  <si>
    <t>PROVEEDORES</t>
  </si>
  <si>
    <t>MATERIALES Y SUMISTROS</t>
  </si>
  <si>
    <t>DISTRIBUCIONES MEDICA LA FE</t>
  </si>
  <si>
    <t xml:space="preserve">EDS  JHONEYDER LÓPEZ  </t>
  </si>
  <si>
    <t>JAIME PLATA SUAREZ</t>
  </si>
  <si>
    <t>NAIRO JAVIER REDONDO MURGAS</t>
  </si>
  <si>
    <t>JAVIER ANTONIO LOZANO CALY</t>
  </si>
  <si>
    <t>GREGORIO CORNINA OLMOS</t>
  </si>
  <si>
    <t>SERVICENTRO SAN JUAN</t>
  </si>
  <si>
    <t>DOTACIONESZUMI DAZA</t>
  </si>
  <si>
    <t>SOLUCIONES AMBIENTALES</t>
  </si>
  <si>
    <t>OXIGENOS DE LA GUAJIRA</t>
  </si>
  <si>
    <t>JULIO JOSE PALMIERI RODRIGUEZ</t>
  </si>
  <si>
    <t>GASES INDUSTRIALES DE COLOMBIA SA</t>
  </si>
  <si>
    <t>E.D.S. AUTOMOTRIZ PONCHO YO JULIO CESAR RESTREPO RAMIREZ</t>
  </si>
  <si>
    <t>EMIR ESTHER BRITO MEJIA</t>
  </si>
  <si>
    <t>RAFAEL HINOJOZA</t>
  </si>
  <si>
    <t>SOLUCIONES SUMINISTRO INTEGRALES SA</t>
  </si>
  <si>
    <t>TOTAL MATERIALES Y SUMINISTRO</t>
  </si>
  <si>
    <t>APORTES PATRONALES Y PARAFISCALES</t>
  </si>
  <si>
    <t>APORTES A FONDOS PENSIONALES</t>
  </si>
  <si>
    <t>COLPENSIONES</t>
  </si>
  <si>
    <t>CAJANAL</t>
  </si>
  <si>
    <t>PORVENIR</t>
  </si>
  <si>
    <t>TOTAL APORTES</t>
  </si>
  <si>
    <t>APORTES A SALUD</t>
  </si>
  <si>
    <t>TOTAL APORTES SALUD</t>
  </si>
  <si>
    <t xml:space="preserve">APORTES PARAFISCALES </t>
  </si>
  <si>
    <t xml:space="preserve">COMFAMILIAR </t>
  </si>
  <si>
    <t>ICBF</t>
  </si>
  <si>
    <t>SENA</t>
  </si>
  <si>
    <t>TOTAL APORTES PARA FISCALES</t>
  </si>
  <si>
    <t>SERVICIOS PUBLICOS</t>
  </si>
  <si>
    <t>Electricaribe SA</t>
  </si>
  <si>
    <t xml:space="preserve">AIR-E </t>
  </si>
  <si>
    <t>FIBRANET</t>
  </si>
  <si>
    <t>Empilar</t>
  </si>
  <si>
    <t>DIGITVNET</t>
  </si>
  <si>
    <t>TOTAL SERVICIOS PUBLICOS</t>
  </si>
  <si>
    <t xml:space="preserve">VIATICOS </t>
  </si>
  <si>
    <t>GEOVANNY LACOUTURE JIMEENZ</t>
  </si>
  <si>
    <t xml:space="preserve">TOTAL VIATICOS </t>
  </si>
  <si>
    <t xml:space="preserve">LIBRANZAS Y OTROS APORTES </t>
  </si>
  <si>
    <t>MARIA TERESA GUERRA</t>
  </si>
  <si>
    <t xml:space="preserve">TOTAL LIBRANZAS Y OTROS </t>
  </si>
  <si>
    <t>RETEFUENTE</t>
  </si>
  <si>
    <t>Honorarios</t>
  </si>
  <si>
    <t>Servicios</t>
  </si>
  <si>
    <t>Compras</t>
  </si>
  <si>
    <t>Otras Retenciones</t>
  </si>
  <si>
    <t>TOTAL RETEFUENTE</t>
  </si>
  <si>
    <t xml:space="preserve">OTROS </t>
  </si>
  <si>
    <t>POSITIVA ARL</t>
  </si>
  <si>
    <t>FODO NACIONAL DEL AHORRO</t>
  </si>
  <si>
    <t>COPESAGUA dic 2011, ene 2012</t>
  </si>
  <si>
    <t>SINDES</t>
  </si>
  <si>
    <t>CONTRALORIA DEPARTAMENTAL DE LA GUAJIRA</t>
  </si>
  <si>
    <t>positiva ARL</t>
  </si>
  <si>
    <t>SURAMERICANA</t>
  </si>
  <si>
    <t>YESENIA BOLAÑOS</t>
  </si>
  <si>
    <t>TOTAL  OTROS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</si>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</sst>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 * #,##0.00_ ;_ * \-#,##0.00_ ;_ * \-??_ ;_ @_ "/>
    <numFmt numFmtId="167" formatCode="mm/yy"/>
    <numFmt numFmtId="168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Garamond Bold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5" fillId="0" borderId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295">
    <xf numFmtId="0" fontId="0" fillId="0" borderId="0" xfId="0"/>
    <xf numFmtId="0" fontId="0" fillId="2" borderId="0" xfId="0" applyFill="1"/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22" xfId="0" applyFont="1" applyFill="1" applyBorder="1" applyAlignment="1">
      <alignment wrapText="1"/>
    </xf>
    <xf numFmtId="3" fontId="4" fillId="2" borderId="23" xfId="2" applyNumberFormat="1" applyFont="1" applyFill="1" applyBorder="1" applyAlignment="1" applyProtection="1"/>
    <xf numFmtId="3" fontId="3" fillId="2" borderId="23" xfId="2" applyNumberFormat="1" applyFont="1" applyFill="1" applyBorder="1" applyAlignment="1" applyProtection="1"/>
    <xf numFmtId="164" fontId="3" fillId="2" borderId="23" xfId="2" applyNumberFormat="1" applyFont="1" applyFill="1" applyBorder="1" applyAlignment="1" applyProtection="1"/>
    <xf numFmtId="164" fontId="4" fillId="2" borderId="23" xfId="2" applyNumberFormat="1" applyFont="1" applyFill="1" applyBorder="1" applyAlignment="1" applyProtection="1"/>
    <xf numFmtId="164" fontId="4" fillId="2" borderId="29" xfId="2" applyNumberFormat="1" applyFont="1" applyFill="1" applyBorder="1" applyAlignment="1" applyProtection="1"/>
    <xf numFmtId="164" fontId="4" fillId="2" borderId="30" xfId="2" applyNumberFormat="1" applyFont="1" applyFill="1" applyBorder="1" applyAlignment="1" applyProtection="1"/>
    <xf numFmtId="164" fontId="4" fillId="2" borderId="25" xfId="2" applyNumberFormat="1" applyFont="1" applyFill="1" applyBorder="1" applyAlignment="1" applyProtection="1"/>
    <xf numFmtId="164" fontId="4" fillId="2" borderId="26" xfId="2" applyNumberFormat="1" applyFont="1" applyFill="1" applyBorder="1" applyAlignment="1" applyProtection="1"/>
    <xf numFmtId="3" fontId="4" fillId="2" borderId="27" xfId="0" applyNumberFormat="1" applyFont="1" applyFill="1" applyBorder="1"/>
    <xf numFmtId="3" fontId="4" fillId="2" borderId="25" xfId="0" applyNumberFormat="1" applyFont="1" applyFill="1" applyBorder="1"/>
    <xf numFmtId="164" fontId="4" fillId="2" borderId="27" xfId="0" applyNumberFormat="1" applyFont="1" applyFill="1" applyBorder="1"/>
    <xf numFmtId="0" fontId="4" fillId="2" borderId="31" xfId="0" applyFont="1" applyFill="1" applyBorder="1" applyAlignment="1">
      <alignment wrapText="1"/>
    </xf>
    <xf numFmtId="3" fontId="4" fillId="2" borderId="32" xfId="2" applyNumberFormat="1" applyFont="1" applyFill="1" applyBorder="1" applyAlignment="1" applyProtection="1"/>
    <xf numFmtId="3" fontId="3" fillId="2" borderId="32" xfId="2" applyNumberFormat="1" applyFont="1" applyFill="1" applyBorder="1" applyAlignment="1" applyProtection="1"/>
    <xf numFmtId="164" fontId="4" fillId="2" borderId="24" xfId="2" applyNumberFormat="1" applyFont="1" applyFill="1" applyBorder="1" applyAlignment="1" applyProtection="1"/>
    <xf numFmtId="0" fontId="4" fillId="2" borderId="33" xfId="0" applyFont="1" applyFill="1" applyBorder="1" applyAlignment="1">
      <alignment wrapText="1"/>
    </xf>
    <xf numFmtId="3" fontId="4" fillId="2" borderId="25" xfId="2" applyNumberFormat="1" applyFont="1" applyFill="1" applyBorder="1" applyAlignment="1" applyProtection="1"/>
    <xf numFmtId="3" fontId="3" fillId="2" borderId="25" xfId="2" applyNumberFormat="1" applyFont="1" applyFill="1" applyBorder="1" applyAlignment="1" applyProtection="1"/>
    <xf numFmtId="3" fontId="3" fillId="2" borderId="34" xfId="2" applyNumberFormat="1" applyFont="1" applyFill="1" applyBorder="1" applyAlignment="1" applyProtection="1"/>
    <xf numFmtId="3" fontId="4" fillId="2" borderId="23" xfId="0" applyNumberFormat="1" applyFont="1" applyFill="1" applyBorder="1"/>
    <xf numFmtId="164" fontId="4" fillId="2" borderId="23" xfId="0" applyNumberFormat="1" applyFont="1" applyFill="1" applyBorder="1"/>
    <xf numFmtId="164" fontId="4" fillId="2" borderId="24" xfId="0" applyNumberFormat="1" applyFont="1" applyFill="1" applyBorder="1"/>
    <xf numFmtId="164" fontId="4" fillId="2" borderId="26" xfId="0" applyNumberFormat="1" applyFont="1" applyFill="1" applyBorder="1"/>
    <xf numFmtId="164" fontId="4" fillId="2" borderId="25" xfId="0" applyNumberFormat="1" applyFont="1" applyFill="1" applyBorder="1"/>
    <xf numFmtId="0" fontId="6" fillId="2" borderId="31" xfId="0" applyFont="1" applyFill="1" applyBorder="1"/>
    <xf numFmtId="3" fontId="4" fillId="2" borderId="32" xfId="0" applyNumberFormat="1" applyFont="1" applyFill="1" applyBorder="1"/>
    <xf numFmtId="164" fontId="4" fillId="2" borderId="32" xfId="0" applyNumberFormat="1" applyFont="1" applyFill="1" applyBorder="1"/>
    <xf numFmtId="164" fontId="4" fillId="2" borderId="29" xfId="0" applyNumberFormat="1" applyFont="1" applyFill="1" applyBorder="1"/>
    <xf numFmtId="3" fontId="4" fillId="2" borderId="25" xfId="0" applyNumberFormat="1" applyFont="1" applyFill="1" applyBorder="1" applyAlignment="1">
      <alignment horizontal="right"/>
    </xf>
    <xf numFmtId="0" fontId="4" fillId="2" borderId="35" xfId="0" applyFont="1" applyFill="1" applyBorder="1" applyAlignment="1">
      <alignment wrapText="1"/>
    </xf>
    <xf numFmtId="3" fontId="4" fillId="2" borderId="30" xfId="0" applyNumberFormat="1" applyFont="1" applyFill="1" applyBorder="1"/>
    <xf numFmtId="164" fontId="4" fillId="2" borderId="30" xfId="0" applyNumberFormat="1" applyFont="1" applyFill="1" applyBorder="1"/>
    <xf numFmtId="164" fontId="4" fillId="2" borderId="36" xfId="0" applyNumberFormat="1" applyFont="1" applyFill="1" applyBorder="1"/>
    <xf numFmtId="3" fontId="3" fillId="2" borderId="25" xfId="0" applyNumberFormat="1" applyFont="1" applyFill="1" applyBorder="1"/>
    <xf numFmtId="3" fontId="3" fillId="2" borderId="23" xfId="0" applyNumberFormat="1" applyFont="1" applyFill="1" applyBorder="1"/>
    <xf numFmtId="164" fontId="3" fillId="2" borderId="23" xfId="0" applyNumberFormat="1" applyFont="1" applyFill="1" applyBorder="1"/>
    <xf numFmtId="3" fontId="3" fillId="2" borderId="32" xfId="0" applyNumberFormat="1" applyFont="1" applyFill="1" applyBorder="1"/>
    <xf numFmtId="164" fontId="3" fillId="2" borderId="32" xfId="0" applyNumberFormat="1" applyFont="1" applyFill="1" applyBorder="1"/>
    <xf numFmtId="0" fontId="4" fillId="2" borderId="40" xfId="0" applyFont="1" applyFill="1" applyBorder="1" applyAlignment="1">
      <alignment wrapText="1"/>
    </xf>
    <xf numFmtId="3" fontId="3" fillId="2" borderId="41" xfId="0" applyNumberFormat="1" applyFont="1" applyFill="1" applyBorder="1"/>
    <xf numFmtId="3" fontId="3" fillId="2" borderId="42" xfId="0" applyNumberFormat="1" applyFont="1" applyFill="1" applyBorder="1"/>
    <xf numFmtId="3" fontId="3" fillId="2" borderId="43" xfId="0" applyNumberFormat="1" applyFont="1" applyFill="1" applyBorder="1"/>
    <xf numFmtId="3" fontId="3" fillId="2" borderId="26" xfId="0" applyNumberFormat="1" applyFont="1" applyFill="1" applyBorder="1"/>
    <xf numFmtId="3" fontId="3" fillId="2" borderId="30" xfId="0" applyNumberFormat="1" applyFont="1" applyFill="1" applyBorder="1"/>
    <xf numFmtId="3" fontId="3" fillId="2" borderId="36" xfId="0" applyNumberFormat="1" applyFont="1" applyFill="1" applyBorder="1"/>
    <xf numFmtId="3" fontId="3" fillId="2" borderId="60" xfId="0" applyNumberFormat="1" applyFont="1" applyFill="1" applyBorder="1"/>
    <xf numFmtId="164" fontId="3" fillId="2" borderId="29" xfId="0" applyNumberFormat="1" applyFont="1" applyFill="1" applyBorder="1"/>
    <xf numFmtId="0" fontId="4" fillId="2" borderId="70" xfId="0" applyFont="1" applyFill="1" applyBorder="1" applyAlignment="1">
      <alignment wrapText="1"/>
    </xf>
    <xf numFmtId="3" fontId="4" fillId="2" borderId="71" xfId="0" applyNumberFormat="1" applyFont="1" applyFill="1" applyBorder="1"/>
    <xf numFmtId="3" fontId="4" fillId="2" borderId="72" xfId="0" applyNumberFormat="1" applyFont="1" applyFill="1" applyBorder="1"/>
    <xf numFmtId="164" fontId="4" fillId="2" borderId="71" xfId="0" applyNumberFormat="1" applyFont="1" applyFill="1" applyBorder="1"/>
    <xf numFmtId="164" fontId="4" fillId="2" borderId="73" xfId="0" applyNumberFormat="1" applyFont="1" applyFill="1" applyBorder="1"/>
    <xf numFmtId="3" fontId="4" fillId="2" borderId="55" xfId="0" applyNumberFormat="1" applyFont="1" applyFill="1" applyBorder="1"/>
    <xf numFmtId="0" fontId="4" fillId="2" borderId="37" xfId="0" applyFont="1" applyFill="1" applyBorder="1" applyAlignment="1">
      <alignment wrapText="1"/>
    </xf>
    <xf numFmtId="3" fontId="4" fillId="2" borderId="74" xfId="0" applyNumberFormat="1" applyFont="1" applyFill="1" applyBorder="1"/>
    <xf numFmtId="0" fontId="4" fillId="2" borderId="75" xfId="0" applyFont="1" applyFill="1" applyBorder="1" applyAlignment="1">
      <alignment wrapText="1"/>
    </xf>
    <xf numFmtId="0" fontId="4" fillId="2" borderId="75" xfId="0" applyFont="1" applyFill="1" applyBorder="1" applyAlignment="1">
      <alignment horizontal="justify" vertical="top" wrapText="1"/>
    </xf>
    <xf numFmtId="0" fontId="6" fillId="2" borderId="25" xfId="0" applyFont="1" applyFill="1" applyBorder="1"/>
    <xf numFmtId="3" fontId="6" fillId="2" borderId="25" xfId="0" applyNumberFormat="1" applyFont="1" applyFill="1" applyBorder="1"/>
    <xf numFmtId="3" fontId="6" fillId="2" borderId="26" xfId="0" applyNumberFormat="1" applyFont="1" applyFill="1" applyBorder="1"/>
    <xf numFmtId="3" fontId="0" fillId="2" borderId="0" xfId="0" applyNumberFormat="1" applyFill="1"/>
    <xf numFmtId="164" fontId="8" fillId="2" borderId="25" xfId="0" applyNumberFormat="1" applyFont="1" applyFill="1" applyBorder="1"/>
    <xf numFmtId="0" fontId="4" fillId="2" borderId="37" xfId="0" applyFont="1" applyFill="1" applyBorder="1" applyAlignment="1">
      <alignment horizontal="justify" vertical="top" wrapText="1"/>
    </xf>
    <xf numFmtId="0" fontId="4" fillId="2" borderId="26" xfId="0" applyFont="1" applyFill="1" applyBorder="1" applyAlignment="1">
      <alignment horizontal="justify" vertical="top" wrapText="1"/>
    </xf>
    <xf numFmtId="164" fontId="8" fillId="2" borderId="25" xfId="2" applyNumberFormat="1" applyFont="1" applyFill="1" applyBorder="1" applyAlignment="1" applyProtection="1"/>
    <xf numFmtId="164" fontId="8" fillId="2" borderId="26" xfId="2" applyNumberFormat="1" applyFont="1" applyFill="1" applyBorder="1" applyAlignment="1" applyProtection="1"/>
    <xf numFmtId="3" fontId="4" fillId="2" borderId="89" xfId="0" applyNumberFormat="1" applyFont="1" applyFill="1" applyBorder="1"/>
    <xf numFmtId="0" fontId="4" fillId="2" borderId="90" xfId="0" applyFont="1" applyFill="1" applyBorder="1" applyAlignment="1">
      <alignment horizontal="justify" vertical="top" wrapText="1"/>
    </xf>
    <xf numFmtId="3" fontId="9" fillId="2" borderId="25" xfId="0" applyNumberFormat="1" applyFont="1" applyFill="1" applyBorder="1"/>
    <xf numFmtId="0" fontId="10" fillId="2" borderId="90" xfId="0" applyFont="1" applyFill="1" applyBorder="1"/>
    <xf numFmtId="168" fontId="10" fillId="2" borderId="25" xfId="3" applyNumberFormat="1" applyFont="1" applyFill="1" applyBorder="1" applyAlignment="1">
      <alignment horizontal="center"/>
    </xf>
    <xf numFmtId="168" fontId="10" fillId="2" borderId="26" xfId="3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justify" vertical="top" wrapText="1"/>
    </xf>
    <xf numFmtId="0" fontId="4" fillId="2" borderId="25" xfId="0" applyFont="1" applyFill="1" applyBorder="1" applyAlignment="1">
      <alignment wrapText="1"/>
    </xf>
    <xf numFmtId="0" fontId="4" fillId="2" borderId="91" xfId="0" applyFont="1" applyFill="1" applyBorder="1" applyAlignment="1">
      <alignment horizontal="justify" vertical="top" wrapText="1"/>
    </xf>
    <xf numFmtId="164" fontId="4" fillId="2" borderId="36" xfId="2" applyNumberFormat="1" applyFont="1" applyFill="1" applyBorder="1" applyAlignment="1" applyProtection="1"/>
    <xf numFmtId="0" fontId="4" fillId="2" borderId="36" xfId="0" applyFont="1" applyFill="1" applyBorder="1" applyAlignment="1">
      <alignment horizontal="justify" vertical="top" wrapText="1"/>
    </xf>
    <xf numFmtId="0" fontId="4" fillId="2" borderId="95" xfId="4" applyFont="1" applyFill="1" applyBorder="1" applyAlignment="1">
      <alignment wrapText="1"/>
    </xf>
    <xf numFmtId="164" fontId="3" fillId="2" borderId="25" xfId="0" applyNumberFormat="1" applyFont="1" applyFill="1" applyBorder="1"/>
    <xf numFmtId="164" fontId="3" fillId="2" borderId="26" xfId="0" applyNumberFormat="1" applyFont="1" applyFill="1" applyBorder="1"/>
    <xf numFmtId="0" fontId="3" fillId="2" borderId="97" xfId="0" applyFont="1" applyFill="1" applyBorder="1" applyAlignment="1">
      <alignment wrapText="1"/>
    </xf>
    <xf numFmtId="3" fontId="3" fillId="2" borderId="49" xfId="0" applyNumberFormat="1" applyFont="1" applyFill="1" applyBorder="1" applyAlignment="1">
      <alignment horizontal="center"/>
    </xf>
    <xf numFmtId="164" fontId="3" fillId="2" borderId="49" xfId="0" applyNumberFormat="1" applyFont="1" applyFill="1" applyBorder="1" applyAlignment="1">
      <alignment horizontal="center"/>
    </xf>
    <xf numFmtId="164" fontId="3" fillId="2" borderId="43" xfId="0" applyNumberFormat="1" applyFont="1" applyFill="1" applyBorder="1" applyAlignment="1">
      <alignment horizontal="center"/>
    </xf>
    <xf numFmtId="164" fontId="4" fillId="2" borderId="49" xfId="2" applyNumberFormat="1" applyFont="1" applyFill="1" applyBorder="1" applyAlignment="1" applyProtection="1"/>
    <xf numFmtId="164" fontId="4" fillId="2" borderId="43" xfId="2" applyNumberFormat="1" applyFont="1" applyFill="1" applyBorder="1" applyAlignment="1" applyProtection="1"/>
    <xf numFmtId="164" fontId="4" fillId="2" borderId="88" xfId="0" applyNumberFormat="1" applyFont="1" applyFill="1" applyBorder="1"/>
    <xf numFmtId="0" fontId="4" fillId="2" borderId="98" xfId="0" applyFont="1" applyFill="1" applyBorder="1" applyAlignment="1">
      <alignment horizontal="justify" vertical="top" wrapText="1"/>
    </xf>
    <xf numFmtId="0" fontId="4" fillId="2" borderId="99" xfId="0" applyFont="1" applyFill="1" applyBorder="1" applyAlignment="1">
      <alignment horizontal="justify" vertical="top" wrapText="1"/>
    </xf>
    <xf numFmtId="164" fontId="4" fillId="2" borderId="100" xfId="2" applyNumberFormat="1" applyFont="1" applyFill="1" applyBorder="1" applyAlignment="1" applyProtection="1"/>
    <xf numFmtId="0" fontId="4" fillId="2" borderId="101" xfId="0" applyFont="1" applyFill="1" applyBorder="1" applyAlignment="1">
      <alignment wrapText="1"/>
    </xf>
    <xf numFmtId="164" fontId="4" fillId="2" borderId="100" xfId="0" applyNumberFormat="1" applyFont="1" applyFill="1" applyBorder="1"/>
    <xf numFmtId="0" fontId="4" fillId="2" borderId="99" xfId="0" applyFont="1" applyFill="1" applyBorder="1" applyAlignment="1">
      <alignment wrapText="1"/>
    </xf>
    <xf numFmtId="0" fontId="4" fillId="2" borderId="94" xfId="0" applyFont="1" applyFill="1" applyBorder="1" applyAlignment="1">
      <alignment wrapText="1"/>
    </xf>
    <xf numFmtId="3" fontId="4" fillId="2" borderId="24" xfId="2" applyNumberFormat="1" applyFont="1" applyFill="1" applyBorder="1" applyAlignment="1" applyProtection="1"/>
    <xf numFmtId="164" fontId="4" fillId="2" borderId="34" xfId="2" applyNumberFormat="1" applyFont="1" applyFill="1" applyBorder="1" applyAlignment="1" applyProtection="1"/>
    <xf numFmtId="0" fontId="4" fillId="2" borderId="84" xfId="0" applyFont="1" applyFill="1" applyBorder="1" applyAlignment="1">
      <alignment wrapText="1"/>
    </xf>
    <xf numFmtId="3" fontId="4" fillId="2" borderId="41" xfId="0" applyNumberFormat="1" applyFont="1" applyFill="1" applyBorder="1"/>
    <xf numFmtId="164" fontId="4" fillId="2" borderId="41" xfId="0" applyNumberFormat="1" applyFont="1" applyFill="1" applyBorder="1"/>
    <xf numFmtId="164" fontId="4" fillId="2" borderId="42" xfId="0" applyNumberFormat="1" applyFont="1" applyFill="1" applyBorder="1"/>
    <xf numFmtId="0" fontId="4" fillId="2" borderId="102" xfId="0" applyFont="1" applyFill="1" applyBorder="1" applyAlignment="1">
      <alignment wrapText="1"/>
    </xf>
    <xf numFmtId="0" fontId="3" fillId="2" borderId="102" xfId="0" applyFont="1" applyFill="1" applyBorder="1" applyAlignment="1">
      <alignment wrapText="1"/>
    </xf>
    <xf numFmtId="164" fontId="4" fillId="2" borderId="104" xfId="0" applyNumberFormat="1" applyFont="1" applyFill="1" applyBorder="1"/>
    <xf numFmtId="164" fontId="4" fillId="2" borderId="0" xfId="0" applyNumberFormat="1" applyFont="1" applyFill="1"/>
    <xf numFmtId="164" fontId="8" fillId="2" borderId="23" xfId="0" applyNumberFormat="1" applyFont="1" applyFill="1" applyBorder="1"/>
    <xf numFmtId="0" fontId="4" fillId="2" borderId="1" xfId="0" applyFont="1" applyFill="1" applyBorder="1" applyAlignment="1">
      <alignment wrapText="1"/>
    </xf>
    <xf numFmtId="0" fontId="4" fillId="2" borderId="26" xfId="0" applyFont="1" applyFill="1" applyBorder="1" applyAlignment="1">
      <alignment wrapText="1"/>
    </xf>
    <xf numFmtId="164" fontId="0" fillId="2" borderId="0" xfId="0" applyNumberFormat="1" applyFill="1"/>
    <xf numFmtId="3" fontId="4" fillId="2" borderId="112" xfId="0" applyNumberFormat="1" applyFont="1" applyFill="1" applyBorder="1"/>
    <xf numFmtId="3" fontId="3" fillId="2" borderId="85" xfId="0" applyNumberFormat="1" applyFont="1" applyFill="1" applyBorder="1"/>
    <xf numFmtId="3" fontId="4" fillId="2" borderId="85" xfId="0" applyNumberFormat="1" applyFont="1" applyFill="1" applyBorder="1"/>
    <xf numFmtId="3" fontId="4" fillId="2" borderId="86" xfId="0" applyNumberFormat="1" applyFont="1" applyFill="1" applyBorder="1"/>
    <xf numFmtId="3" fontId="4" fillId="2" borderId="0" xfId="0" applyNumberFormat="1" applyFont="1" applyFill="1"/>
    <xf numFmtId="3" fontId="4" fillId="2" borderId="111" xfId="0" applyNumberFormat="1" applyFont="1" applyFill="1" applyBorder="1"/>
    <xf numFmtId="0" fontId="4" fillId="2" borderId="96" xfId="0" applyFont="1" applyFill="1" applyBorder="1" applyAlignment="1">
      <alignment wrapText="1"/>
    </xf>
    <xf numFmtId="3" fontId="4" fillId="2" borderId="60" xfId="0" applyNumberFormat="1" applyFont="1" applyFill="1" applyBorder="1"/>
    <xf numFmtId="3" fontId="4" fillId="2" borderId="29" xfId="0" applyNumberFormat="1" applyFont="1" applyFill="1" applyBorder="1"/>
    <xf numFmtId="3" fontId="4" fillId="2" borderId="36" xfId="0" applyNumberFormat="1" applyFont="1" applyFill="1" applyBorder="1"/>
    <xf numFmtId="0" fontId="3" fillId="2" borderId="25" xfId="0" applyFont="1" applyFill="1" applyBorder="1" applyAlignment="1">
      <alignment wrapText="1"/>
    </xf>
    <xf numFmtId="0" fontId="3" fillId="2" borderId="84" xfId="0" applyFont="1" applyFill="1" applyBorder="1" applyAlignment="1">
      <alignment wrapText="1"/>
    </xf>
    <xf numFmtId="3" fontId="4" fillId="2" borderId="41" xfId="2" applyNumberFormat="1" applyFont="1" applyFill="1" applyBorder="1" applyAlignment="1" applyProtection="1"/>
    <xf numFmtId="164" fontId="4" fillId="2" borderId="41" xfId="2" applyNumberFormat="1" applyFont="1" applyFill="1" applyBorder="1" applyAlignment="1" applyProtection="1"/>
    <xf numFmtId="164" fontId="4" fillId="2" borderId="42" xfId="2" applyNumberFormat="1" applyFont="1" applyFill="1" applyBorder="1" applyAlignment="1" applyProtection="1"/>
    <xf numFmtId="0" fontId="4" fillId="2" borderId="116" xfId="0" applyFont="1" applyFill="1" applyBorder="1" applyAlignment="1">
      <alignment wrapText="1"/>
    </xf>
    <xf numFmtId="3" fontId="3" fillId="2" borderId="117" xfId="2" applyNumberFormat="1" applyFont="1" applyFill="1" applyBorder="1"/>
    <xf numFmtId="164" fontId="3" fillId="2" borderId="117" xfId="2" applyNumberFormat="1" applyFont="1" applyFill="1" applyBorder="1"/>
    <xf numFmtId="164" fontId="4" fillId="2" borderId="117" xfId="2" applyNumberFormat="1" applyFont="1" applyFill="1" applyBorder="1"/>
    <xf numFmtId="164" fontId="4" fillId="2" borderId="118" xfId="2" applyNumberFormat="1" applyFont="1" applyFill="1" applyBorder="1"/>
    <xf numFmtId="164" fontId="4" fillId="2" borderId="23" xfId="2" applyNumberFormat="1" applyFont="1" applyFill="1" applyBorder="1"/>
    <xf numFmtId="0" fontId="4" fillId="2" borderId="119" xfId="0" applyFont="1" applyFill="1" applyBorder="1" applyAlignment="1">
      <alignment wrapText="1"/>
    </xf>
    <xf numFmtId="3" fontId="3" fillId="2" borderId="120" xfId="2" applyNumberFormat="1" applyFont="1" applyFill="1" applyBorder="1"/>
    <xf numFmtId="164" fontId="3" fillId="2" borderId="120" xfId="2" applyNumberFormat="1" applyFont="1" applyFill="1" applyBorder="1"/>
    <xf numFmtId="164" fontId="4" fillId="2" borderId="120" xfId="2" applyNumberFormat="1" applyFont="1" applyFill="1" applyBorder="1"/>
    <xf numFmtId="164" fontId="4" fillId="2" borderId="121" xfId="2" applyNumberFormat="1" applyFont="1" applyFill="1" applyBorder="1"/>
    <xf numFmtId="164" fontId="4" fillId="2" borderId="32" xfId="2" applyNumberFormat="1" applyFont="1" applyFill="1" applyBorder="1"/>
    <xf numFmtId="0" fontId="3" fillId="2" borderId="26" xfId="0" applyFont="1" applyFill="1" applyBorder="1" applyAlignment="1">
      <alignment wrapText="1"/>
    </xf>
    <xf numFmtId="164" fontId="3" fillId="2" borderId="90" xfId="0" applyNumberFormat="1" applyFont="1" applyFill="1" applyBorder="1"/>
    <xf numFmtId="164" fontId="3" fillId="2" borderId="43" xfId="0" applyNumberFormat="1" applyFont="1" applyFill="1" applyBorder="1"/>
    <xf numFmtId="164" fontId="3" fillId="2" borderId="49" xfId="0" applyNumberFormat="1" applyFont="1" applyFill="1" applyBorder="1"/>
    <xf numFmtId="0" fontId="4" fillId="2" borderId="98" xfId="0" applyFont="1" applyFill="1" applyBorder="1" applyAlignment="1">
      <alignment wrapText="1"/>
    </xf>
    <xf numFmtId="164" fontId="4" fillId="2" borderId="101" xfId="2" applyNumberFormat="1" applyFont="1" applyFill="1" applyBorder="1" applyAlignment="1" applyProtection="1"/>
    <xf numFmtId="0" fontId="4" fillId="2" borderId="74" xfId="0" applyFont="1" applyFill="1" applyBorder="1" applyAlignment="1">
      <alignment wrapText="1"/>
    </xf>
    <xf numFmtId="3" fontId="4" fillId="2" borderId="112" xfId="2" applyNumberFormat="1" applyFont="1" applyFill="1" applyBorder="1" applyAlignment="1" applyProtection="1"/>
    <xf numFmtId="3" fontId="4" fillId="2" borderId="86" xfId="2" applyNumberFormat="1" applyFont="1" applyFill="1" applyBorder="1" applyAlignment="1" applyProtection="1"/>
    <xf numFmtId="3" fontId="4" fillId="2" borderId="111" xfId="2" applyNumberFormat="1" applyFont="1" applyFill="1" applyBorder="1" applyAlignment="1" applyProtection="1"/>
    <xf numFmtId="164" fontId="4" fillId="2" borderId="111" xfId="2" applyNumberFormat="1" applyFont="1" applyFill="1" applyBorder="1" applyAlignment="1" applyProtection="1"/>
    <xf numFmtId="164" fontId="4" fillId="2" borderId="112" xfId="2" applyNumberFormat="1" applyFont="1" applyFill="1" applyBorder="1" applyAlignment="1" applyProtection="1"/>
    <xf numFmtId="164" fontId="4" fillId="2" borderId="85" xfId="2" applyNumberFormat="1" applyFont="1" applyFill="1" applyBorder="1" applyAlignment="1" applyProtection="1"/>
    <xf numFmtId="164" fontId="4" fillId="2" borderId="86" xfId="2" applyNumberFormat="1" applyFont="1" applyFill="1" applyBorder="1" applyAlignment="1" applyProtection="1"/>
    <xf numFmtId="164" fontId="4" fillId="2" borderId="93" xfId="2" applyNumberFormat="1" applyFont="1" applyFill="1" applyBorder="1" applyAlignment="1" applyProtection="1"/>
    <xf numFmtId="0" fontId="4" fillId="2" borderId="95" xfId="0" applyFont="1" applyFill="1" applyBorder="1" applyAlignment="1">
      <alignment wrapText="1"/>
    </xf>
    <xf numFmtId="3" fontId="4" fillId="2" borderId="60" xfId="2" applyNumberFormat="1" applyFont="1" applyFill="1" applyBorder="1" applyAlignment="1" applyProtection="1"/>
    <xf numFmtId="3" fontId="4" fillId="2" borderId="29" xfId="2" applyNumberFormat="1" applyFont="1" applyFill="1" applyBorder="1" applyAlignment="1" applyProtection="1"/>
    <xf numFmtId="3" fontId="4" fillId="2" borderId="30" xfId="2" applyNumberFormat="1" applyFont="1" applyFill="1" applyBorder="1" applyAlignment="1" applyProtection="1"/>
    <xf numFmtId="164" fontId="4" fillId="2" borderId="60" xfId="2" applyNumberFormat="1" applyFont="1" applyFill="1" applyBorder="1" applyAlignment="1" applyProtection="1"/>
    <xf numFmtId="164" fontId="4" fillId="2" borderId="32" xfId="2" applyNumberFormat="1" applyFont="1" applyFill="1" applyBorder="1" applyAlignment="1" applyProtection="1"/>
    <xf numFmtId="164" fontId="4" fillId="2" borderId="74" xfId="2" applyNumberFormat="1" applyFont="1" applyFill="1" applyBorder="1" applyAlignment="1" applyProtection="1"/>
    <xf numFmtId="43" fontId="0" fillId="2" borderId="0" xfId="3" applyFont="1" applyFill="1"/>
    <xf numFmtId="43" fontId="0" fillId="2" borderId="0" xfId="0" applyNumberFormat="1" applyFill="1"/>
    <xf numFmtId="165" fontId="0" fillId="2" borderId="0" xfId="1" applyFont="1" applyFill="1"/>
    <xf numFmtId="0" fontId="3" fillId="2" borderId="17" xfId="0" applyFont="1" applyFill="1" applyBorder="1" applyAlignment="1">
      <alignment wrapText="1"/>
    </xf>
    <xf numFmtId="3" fontId="3" fillId="2" borderId="18" xfId="0" applyNumberFormat="1" applyFont="1" applyFill="1" applyBorder="1"/>
    <xf numFmtId="3" fontId="3" fillId="2" borderId="19" xfId="0" applyNumberFormat="1" applyFont="1" applyFill="1" applyBorder="1"/>
    <xf numFmtId="0" fontId="3" fillId="2" borderId="20" xfId="0" applyFont="1" applyFill="1" applyBorder="1" applyAlignment="1">
      <alignment wrapText="1"/>
    </xf>
    <xf numFmtId="3" fontId="3" fillId="2" borderId="21" xfId="2" applyNumberFormat="1" applyFont="1" applyFill="1" applyBorder="1" applyAlignment="1" applyProtection="1"/>
    <xf numFmtId="3" fontId="3" fillId="2" borderId="15" xfId="2" applyNumberFormat="1" applyFont="1" applyFill="1" applyBorder="1" applyAlignment="1" applyProtection="1"/>
    <xf numFmtId="3" fontId="3" fillId="2" borderId="16" xfId="2" applyNumberFormat="1" applyFont="1" applyFill="1" applyBorder="1" applyAlignment="1" applyProtection="1"/>
    <xf numFmtId="0" fontId="3" fillId="2" borderId="22" xfId="0" applyFont="1" applyFill="1" applyBorder="1" applyAlignment="1">
      <alignment wrapText="1"/>
    </xf>
    <xf numFmtId="164" fontId="4" fillId="2" borderId="28" xfId="0" applyNumberFormat="1" applyFont="1" applyFill="1" applyBorder="1"/>
    <xf numFmtId="0" fontId="3" fillId="2" borderId="37" xfId="0" applyFont="1" applyFill="1" applyBorder="1" applyAlignment="1">
      <alignment wrapText="1"/>
    </xf>
    <xf numFmtId="3" fontId="3" fillId="2" borderId="38" xfId="0" applyNumberFormat="1" applyFont="1" applyFill="1" applyBorder="1"/>
    <xf numFmtId="3" fontId="3" fillId="2" borderId="39" xfId="0" applyNumberFormat="1" applyFont="1" applyFill="1" applyBorder="1"/>
    <xf numFmtId="0" fontId="3" fillId="2" borderId="40" xfId="0" applyFont="1" applyFill="1" applyBorder="1" applyAlignment="1">
      <alignment wrapText="1"/>
    </xf>
    <xf numFmtId="164" fontId="3" fillId="2" borderId="41" xfId="0" applyNumberFormat="1" applyFont="1" applyFill="1" applyBorder="1"/>
    <xf numFmtId="164" fontId="3" fillId="2" borderId="42" xfId="0" applyNumberFormat="1" applyFont="1" applyFill="1" applyBorder="1"/>
    <xf numFmtId="0" fontId="3" fillId="2" borderId="39" xfId="0" applyFont="1" applyFill="1" applyBorder="1" applyAlignment="1">
      <alignment wrapText="1"/>
    </xf>
    <xf numFmtId="3" fontId="3" fillId="2" borderId="44" xfId="0" applyNumberFormat="1" applyFont="1" applyFill="1" applyBorder="1"/>
    <xf numFmtId="3" fontId="3" fillId="2" borderId="45" xfId="0" applyNumberFormat="1" applyFont="1" applyFill="1" applyBorder="1"/>
    <xf numFmtId="3" fontId="3" fillId="2" borderId="46" xfId="0" applyNumberFormat="1" applyFont="1" applyFill="1" applyBorder="1"/>
    <xf numFmtId="3" fontId="3" fillId="2" borderId="47" xfId="0" applyNumberFormat="1" applyFont="1" applyFill="1" applyBorder="1"/>
    <xf numFmtId="3" fontId="3" fillId="2" borderId="48" xfId="0" applyNumberFormat="1" applyFont="1" applyFill="1" applyBorder="1"/>
    <xf numFmtId="0" fontId="3" fillId="2" borderId="50" xfId="0" applyFont="1" applyFill="1" applyBorder="1" applyAlignment="1">
      <alignment wrapText="1"/>
    </xf>
    <xf numFmtId="3" fontId="3" fillId="2" borderId="51" xfId="0" applyNumberFormat="1" applyFont="1" applyFill="1" applyBorder="1"/>
    <xf numFmtId="3" fontId="3" fillId="2" borderId="52" xfId="0" applyNumberFormat="1" applyFont="1" applyFill="1" applyBorder="1"/>
    <xf numFmtId="164" fontId="4" fillId="2" borderId="43" xfId="0" applyNumberFormat="1" applyFont="1" applyFill="1" applyBorder="1"/>
    <xf numFmtId="164" fontId="4" fillId="2" borderId="49" xfId="0" applyNumberFormat="1" applyFont="1" applyFill="1" applyBorder="1"/>
    <xf numFmtId="167" fontId="3" fillId="2" borderId="50" xfId="0" applyNumberFormat="1" applyFont="1" applyFill="1" applyBorder="1" applyAlignment="1">
      <alignment horizontal="left" wrapText="1"/>
    </xf>
    <xf numFmtId="3" fontId="3" fillId="2" borderId="21" xfId="0" applyNumberFormat="1" applyFont="1" applyFill="1" applyBorder="1"/>
    <xf numFmtId="3" fontId="3" fillId="2" borderId="53" xfId="0" applyNumberFormat="1" applyFont="1" applyFill="1" applyBorder="1"/>
    <xf numFmtId="3" fontId="3" fillId="2" borderId="16" xfId="0" applyNumberFormat="1" applyFont="1" applyFill="1" applyBorder="1"/>
    <xf numFmtId="3" fontId="3" fillId="2" borderId="54" xfId="0" applyNumberFormat="1" applyFont="1" applyFill="1" applyBorder="1"/>
    <xf numFmtId="164" fontId="4" fillId="2" borderId="55" xfId="0" applyNumberFormat="1" applyFont="1" applyFill="1" applyBorder="1"/>
    <xf numFmtId="3" fontId="3" fillId="2" borderId="56" xfId="0" applyNumberFormat="1" applyFont="1" applyFill="1" applyBorder="1"/>
    <xf numFmtId="3" fontId="3" fillId="2" borderId="49" xfId="0" applyNumberFormat="1" applyFont="1" applyFill="1" applyBorder="1"/>
    <xf numFmtId="3" fontId="3" fillId="2" borderId="57" xfId="0" applyNumberFormat="1" applyFont="1" applyFill="1" applyBorder="1"/>
    <xf numFmtId="0" fontId="3" fillId="2" borderId="58" xfId="0" applyFont="1" applyFill="1" applyBorder="1" applyAlignment="1">
      <alignment wrapText="1"/>
    </xf>
    <xf numFmtId="3" fontId="3" fillId="2" borderId="59" xfId="0" applyNumberFormat="1" applyFont="1" applyFill="1" applyBorder="1"/>
    <xf numFmtId="0" fontId="7" fillId="2" borderId="0" xfId="0" applyFont="1" applyFill="1"/>
    <xf numFmtId="0" fontId="3" fillId="2" borderId="61" xfId="0" applyFont="1" applyFill="1" applyBorder="1" applyAlignment="1">
      <alignment wrapText="1"/>
    </xf>
    <xf numFmtId="3" fontId="3" fillId="2" borderId="62" xfId="0" applyNumberFormat="1" applyFont="1" applyFill="1" applyBorder="1"/>
    <xf numFmtId="3" fontId="3" fillId="2" borderId="63" xfId="0" applyNumberFormat="1" applyFont="1" applyFill="1" applyBorder="1"/>
    <xf numFmtId="3" fontId="3" fillId="2" borderId="64" xfId="0" applyNumberFormat="1" applyFont="1" applyFill="1" applyBorder="1"/>
    <xf numFmtId="3" fontId="3" fillId="2" borderId="65" xfId="0" applyNumberFormat="1" applyFont="1" applyFill="1" applyBorder="1"/>
    <xf numFmtId="3" fontId="3" fillId="2" borderId="15" xfId="0" applyNumberFormat="1" applyFont="1" applyFill="1" applyBorder="1"/>
    <xf numFmtId="3" fontId="3" fillId="2" borderId="66" xfId="0" applyNumberFormat="1" applyFont="1" applyFill="1" applyBorder="1"/>
    <xf numFmtId="3" fontId="3" fillId="2" borderId="13" xfId="0" applyNumberFormat="1" applyFont="1" applyFill="1" applyBorder="1"/>
    <xf numFmtId="3" fontId="3" fillId="2" borderId="67" xfId="0" applyNumberFormat="1" applyFont="1" applyFill="1" applyBorder="1"/>
    <xf numFmtId="0" fontId="3" fillId="2" borderId="68" xfId="0" applyFont="1" applyFill="1" applyBorder="1" applyAlignment="1">
      <alignment wrapText="1"/>
    </xf>
    <xf numFmtId="164" fontId="4" fillId="2" borderId="69" xfId="0" applyNumberFormat="1" applyFont="1" applyFill="1" applyBorder="1"/>
    <xf numFmtId="0" fontId="3" fillId="2" borderId="76" xfId="0" applyFont="1" applyFill="1" applyBorder="1" applyAlignment="1">
      <alignment wrapText="1"/>
    </xf>
    <xf numFmtId="3" fontId="3" fillId="2" borderId="77" xfId="0" applyNumberFormat="1" applyFont="1" applyFill="1" applyBorder="1"/>
    <xf numFmtId="3" fontId="3" fillId="2" borderId="78" xfId="0" applyNumberFormat="1" applyFont="1" applyFill="1" applyBorder="1"/>
    <xf numFmtId="3" fontId="3" fillId="2" borderId="79" xfId="0" applyNumberFormat="1" applyFont="1" applyFill="1" applyBorder="1"/>
    <xf numFmtId="3" fontId="3" fillId="2" borderId="80" xfId="0" applyNumberFormat="1" applyFont="1" applyFill="1" applyBorder="1"/>
    <xf numFmtId="3" fontId="3" fillId="2" borderId="81" xfId="0" applyNumberFormat="1" applyFont="1" applyFill="1" applyBorder="1"/>
    <xf numFmtId="3" fontId="3" fillId="2" borderId="82" xfId="0" applyNumberFormat="1" applyFont="1" applyFill="1" applyBorder="1"/>
    <xf numFmtId="3" fontId="3" fillId="2" borderId="83" xfId="0" applyNumberFormat="1" applyFont="1" applyFill="1" applyBorder="1"/>
    <xf numFmtId="164" fontId="3" fillId="2" borderId="85" xfId="0" applyNumberFormat="1" applyFont="1" applyFill="1" applyBorder="1"/>
    <xf numFmtId="164" fontId="3" fillId="2" borderId="86" xfId="0" applyNumberFormat="1" applyFont="1" applyFill="1" applyBorder="1"/>
    <xf numFmtId="164" fontId="3" fillId="2" borderId="87" xfId="0" applyNumberFormat="1" applyFont="1" applyFill="1" applyBorder="1"/>
    <xf numFmtId="3" fontId="3" fillId="2" borderId="89" xfId="0" applyNumberFormat="1" applyFont="1" applyFill="1" applyBorder="1"/>
    <xf numFmtId="0" fontId="4" fillId="2" borderId="92" xfId="0" applyFont="1" applyFill="1" applyBorder="1" applyAlignment="1">
      <alignment wrapText="1"/>
    </xf>
    <xf numFmtId="3" fontId="3" fillId="2" borderId="93" xfId="0" applyNumberFormat="1" applyFont="1" applyFill="1" applyBorder="1"/>
    <xf numFmtId="0" fontId="3" fillId="2" borderId="94" xfId="0" applyFont="1" applyFill="1" applyBorder="1" applyAlignment="1">
      <alignment wrapText="1"/>
    </xf>
    <xf numFmtId="0" fontId="3" fillId="2" borderId="96" xfId="0" applyFont="1" applyFill="1" applyBorder="1" applyAlignment="1">
      <alignment wrapText="1"/>
    </xf>
    <xf numFmtId="164" fontId="3" fillId="2" borderId="30" xfId="0" applyNumberFormat="1" applyFont="1" applyFill="1" applyBorder="1"/>
    <xf numFmtId="164" fontId="3" fillId="2" borderId="36" xfId="0" applyNumberFormat="1" applyFont="1" applyFill="1" applyBorder="1"/>
    <xf numFmtId="164" fontId="3" fillId="2" borderId="65" xfId="0" applyNumberFormat="1" applyFont="1" applyFill="1" applyBorder="1"/>
    <xf numFmtId="0" fontId="3" fillId="2" borderId="84" xfId="0" applyFont="1" applyFill="1" applyBorder="1" applyAlignment="1">
      <alignment horizontal="justify" vertical="top" wrapText="1"/>
    </xf>
    <xf numFmtId="164" fontId="4" fillId="2" borderId="89" xfId="0" applyNumberFormat="1" applyFont="1" applyFill="1" applyBorder="1"/>
    <xf numFmtId="0" fontId="3" fillId="2" borderId="38" xfId="0" applyFont="1" applyFill="1" applyBorder="1" applyAlignment="1">
      <alignment wrapText="1"/>
    </xf>
    <xf numFmtId="3" fontId="3" fillId="2" borderId="34" xfId="0" applyNumberFormat="1" applyFont="1" applyFill="1" applyBorder="1"/>
    <xf numFmtId="3" fontId="3" fillId="2" borderId="24" xfId="0" applyNumberFormat="1" applyFont="1" applyFill="1" applyBorder="1"/>
    <xf numFmtId="3" fontId="3" fillId="2" borderId="103" xfId="0" applyNumberFormat="1" applyFont="1" applyFill="1" applyBorder="1"/>
    <xf numFmtId="3" fontId="3" fillId="2" borderId="104" xfId="0" applyNumberFormat="1" applyFont="1" applyFill="1" applyBorder="1"/>
    <xf numFmtId="3" fontId="3" fillId="2" borderId="74" xfId="0" applyNumberFormat="1" applyFont="1" applyFill="1" applyBorder="1"/>
    <xf numFmtId="0" fontId="3" fillId="2" borderId="105" xfId="0" applyFont="1" applyFill="1" applyBorder="1" applyAlignment="1">
      <alignment wrapText="1"/>
    </xf>
    <xf numFmtId="0" fontId="3" fillId="2" borderId="106" xfId="0" applyFont="1" applyFill="1" applyBorder="1" applyAlignment="1">
      <alignment wrapText="1"/>
    </xf>
    <xf numFmtId="164" fontId="3" fillId="2" borderId="15" xfId="0" applyNumberFormat="1" applyFont="1" applyFill="1" applyBorder="1"/>
    <xf numFmtId="164" fontId="3" fillId="2" borderId="66" xfId="0" applyNumberFormat="1" applyFont="1" applyFill="1" applyBorder="1"/>
    <xf numFmtId="164" fontId="3" fillId="2" borderId="107" xfId="0" applyNumberFormat="1" applyFont="1" applyFill="1" applyBorder="1"/>
    <xf numFmtId="164" fontId="3" fillId="2" borderId="108" xfId="0" applyNumberFormat="1" applyFont="1" applyFill="1" applyBorder="1"/>
    <xf numFmtId="164" fontId="3" fillId="2" borderId="109" xfId="0" applyNumberFormat="1" applyFont="1" applyFill="1" applyBorder="1"/>
    <xf numFmtId="164" fontId="3" fillId="2" borderId="110" xfId="0" applyNumberFormat="1" applyFont="1" applyFill="1" applyBorder="1"/>
    <xf numFmtId="3" fontId="3" fillId="2" borderId="76" xfId="0" applyNumberFormat="1" applyFont="1" applyFill="1" applyBorder="1"/>
    <xf numFmtId="3" fontId="3" fillId="2" borderId="50" xfId="0" applyNumberFormat="1" applyFont="1" applyFill="1" applyBorder="1"/>
    <xf numFmtId="3" fontId="4" fillId="2" borderId="57" xfId="0" applyNumberFormat="1" applyFont="1" applyFill="1" applyBorder="1"/>
    <xf numFmtId="3" fontId="3" fillId="2" borderId="44" xfId="2" applyNumberFormat="1" applyFont="1" applyFill="1" applyBorder="1" applyAlignment="1" applyProtection="1"/>
    <xf numFmtId="3" fontId="3" fillId="2" borderId="45" xfId="2" applyNumberFormat="1" applyFont="1" applyFill="1" applyBorder="1" applyAlignment="1" applyProtection="1"/>
    <xf numFmtId="3" fontId="3" fillId="2" borderId="59" xfId="2" applyNumberFormat="1" applyFont="1" applyFill="1" applyBorder="1" applyAlignment="1" applyProtection="1"/>
    <xf numFmtId="0" fontId="3" fillId="2" borderId="113" xfId="0" applyFont="1" applyFill="1" applyBorder="1" applyAlignment="1">
      <alignment wrapText="1"/>
    </xf>
    <xf numFmtId="3" fontId="3" fillId="2" borderId="114" xfId="2" applyNumberFormat="1" applyFont="1" applyFill="1" applyBorder="1"/>
    <xf numFmtId="164" fontId="3" fillId="2" borderId="114" xfId="2" applyNumberFormat="1" applyFont="1" applyFill="1" applyBorder="1"/>
    <xf numFmtId="164" fontId="3" fillId="2" borderId="115" xfId="2" applyNumberFormat="1" applyFont="1" applyFill="1" applyBorder="1"/>
    <xf numFmtId="164" fontId="3" fillId="2" borderId="41" xfId="2" applyNumberFormat="1" applyFont="1" applyFill="1" applyBorder="1"/>
    <xf numFmtId="164" fontId="3" fillId="2" borderId="42" xfId="2" applyNumberFormat="1" applyFont="1" applyFill="1" applyBorder="1"/>
    <xf numFmtId="164" fontId="3" fillId="2" borderId="43" xfId="2" applyNumberFormat="1" applyFont="1" applyFill="1" applyBorder="1"/>
    <xf numFmtId="164" fontId="3" fillId="2" borderId="49" xfId="2" applyNumberFormat="1" applyFont="1" applyFill="1" applyBorder="1"/>
    <xf numFmtId="164" fontId="3" fillId="2" borderId="26" xfId="2" applyNumberFormat="1" applyFont="1" applyFill="1" applyBorder="1"/>
    <xf numFmtId="164" fontId="3" fillId="2" borderId="25" xfId="2" applyNumberFormat="1" applyFont="1" applyFill="1" applyBorder="1"/>
    <xf numFmtId="0" fontId="3" fillId="2" borderId="46" xfId="0" applyFont="1" applyFill="1" applyBorder="1" applyAlignment="1">
      <alignment wrapText="1"/>
    </xf>
    <xf numFmtId="3" fontId="3" fillId="2" borderId="51" xfId="2" applyNumberFormat="1" applyFont="1" applyFill="1" applyBorder="1"/>
    <xf numFmtId="3" fontId="3" fillId="2" borderId="52" xfId="2" applyNumberFormat="1" applyFont="1" applyFill="1" applyBorder="1"/>
    <xf numFmtId="3" fontId="3" fillId="2" borderId="103" xfId="2" applyNumberFormat="1" applyFont="1" applyFill="1" applyBorder="1"/>
    <xf numFmtId="0" fontId="3" fillId="2" borderId="122" xfId="0" applyFont="1" applyFill="1" applyBorder="1" applyAlignment="1">
      <alignment wrapText="1"/>
    </xf>
    <xf numFmtId="3" fontId="4" fillId="2" borderId="85" xfId="2" applyNumberFormat="1" applyFont="1" applyFill="1" applyBorder="1" applyAlignment="1" applyProtection="1"/>
    <xf numFmtId="164" fontId="3" fillId="2" borderId="111" xfId="0" applyNumberFormat="1" applyFont="1" applyFill="1" applyBorder="1"/>
    <xf numFmtId="164" fontId="3" fillId="2" borderId="112" xfId="0" applyNumberFormat="1" applyFont="1" applyFill="1" applyBorder="1"/>
    <xf numFmtId="164" fontId="3" fillId="2" borderId="0" xfId="0" applyNumberFormat="1" applyFont="1" applyFill="1"/>
    <xf numFmtId="0" fontId="3" fillId="2" borderId="123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164" fontId="3" fillId="2" borderId="25" xfId="0" applyNumberFormat="1" applyFont="1" applyFill="1" applyBorder="1" applyAlignment="1">
      <alignment wrapText="1"/>
    </xf>
    <xf numFmtId="164" fontId="3" fillId="2" borderId="26" xfId="0" applyNumberFormat="1" applyFont="1" applyFill="1" applyBorder="1" applyAlignment="1">
      <alignment wrapText="1"/>
    </xf>
    <xf numFmtId="164" fontId="3" fillId="2" borderId="43" xfId="0" applyNumberFormat="1" applyFont="1" applyFill="1" applyBorder="1" applyAlignment="1">
      <alignment wrapText="1"/>
    </xf>
    <xf numFmtId="164" fontId="3" fillId="2" borderId="49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5">
    <cellStyle name="Millares" xfId="1" builtinId="3"/>
    <cellStyle name="Millares 17" xfId="3"/>
    <cellStyle name="Millares 2" xfId="2"/>
    <cellStyle name="Normal" xfId="0" builtinId="0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a%20Delia/Documents/2021/HOSPITAL%202021/MOVIMIENTO%20ENERO%20DIc%202020/6-ABRIL-JUINIO/ABRIL%20JUNIO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IL 2021"/>
      <sheetName val="MAYO 2021"/>
      <sheetName val="JUNIO 2021"/>
      <sheetName val="CONTABILIDAD"/>
      <sheetName val="F1-HSC-1012-PLANO  (2)"/>
      <sheetName val="BALANCE DIC 2020"/>
      <sheetName val="P Y G DIC 2020"/>
      <sheetName val="BALANCE COMPRATIVO 2019-2020"/>
      <sheetName val="ESTADO DE ACTIVIDAD 2019-2020"/>
      <sheetName val="ESTADO DE CAMBIO EN EL PAT 2020"/>
      <sheetName val="ESTADO DE FLUJO DE EFECTIVO"/>
      <sheetName val="CIERRE E LA VIGENCIA 2010"/>
      <sheetName val="PLAN DE CUENTA"/>
      <sheetName val="Hoja1"/>
    </sheetNames>
    <sheetDataSet>
      <sheetData sheetId="0" refreshError="1"/>
      <sheetData sheetId="1" refreshError="1"/>
      <sheetData sheetId="2" refreshError="1"/>
      <sheetData sheetId="3" refreshError="1">
        <row r="100">
          <cell r="P100">
            <v>4246381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5"/>
  <sheetViews>
    <sheetView tabSelected="1" topLeftCell="A4" workbookViewId="0">
      <selection activeCell="A4" sqref="A4"/>
    </sheetView>
  </sheetViews>
  <sheetFormatPr baseColWidth="10" defaultRowHeight="15"/>
  <cols>
    <col min="1" max="1" width="36.28515625" style="1" customWidth="1"/>
    <col min="2" max="11" width="11.42578125" style="1"/>
    <col min="12" max="12" width="14.85546875" style="1" customWidth="1"/>
    <col min="13" max="16" width="11.42578125" style="1"/>
    <col min="17" max="17" width="14.140625" style="1" bestFit="1" customWidth="1"/>
    <col min="18" max="18" width="11.42578125" style="1"/>
    <col min="19" max="19" width="12.5703125" style="1" bestFit="1" customWidth="1"/>
    <col min="20" max="20" width="11.42578125" style="1"/>
    <col min="21" max="21" width="13.140625" style="1" bestFit="1" customWidth="1"/>
    <col min="22" max="22" width="15" style="1" bestFit="1" customWidth="1"/>
    <col min="23" max="23" width="13.7109375" style="1" customWidth="1"/>
    <col min="24" max="24" width="15" style="1" customWidth="1"/>
    <col min="25" max="26" width="11.42578125" style="1"/>
    <col min="27" max="27" width="14.140625" style="1" bestFit="1" customWidth="1"/>
    <col min="28" max="16384" width="11.42578125" style="1"/>
  </cols>
  <sheetData>
    <row r="1" spans="1:28" ht="15.75" thickBot="1">
      <c r="A1" s="291" t="s">
        <v>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</row>
    <row r="2" spans="1:28" ht="15.75" thickBot="1">
      <c r="A2" s="293" t="s">
        <v>1</v>
      </c>
      <c r="B2" s="287" t="s">
        <v>2</v>
      </c>
      <c r="C2" s="287" t="s">
        <v>3</v>
      </c>
      <c r="D2" s="287" t="s">
        <v>4</v>
      </c>
      <c r="E2" s="287" t="s">
        <v>5</v>
      </c>
      <c r="F2" s="287" t="s">
        <v>6</v>
      </c>
      <c r="G2" s="287" t="s">
        <v>7</v>
      </c>
      <c r="H2" s="287" t="s">
        <v>8</v>
      </c>
      <c r="I2" s="287" t="s">
        <v>9</v>
      </c>
      <c r="J2" s="287" t="s">
        <v>10</v>
      </c>
      <c r="K2" s="287" t="s">
        <v>11</v>
      </c>
      <c r="L2" s="287" t="s">
        <v>12</v>
      </c>
      <c r="M2" s="287" t="s">
        <v>13</v>
      </c>
      <c r="N2" s="287" t="s">
        <v>14</v>
      </c>
      <c r="O2" s="289" t="s">
        <v>15</v>
      </c>
      <c r="P2" s="283">
        <v>2014</v>
      </c>
      <c r="Q2" s="283">
        <v>2015</v>
      </c>
      <c r="R2" s="283">
        <v>2016</v>
      </c>
      <c r="S2" s="283">
        <v>2017</v>
      </c>
      <c r="T2" s="283">
        <v>2018</v>
      </c>
      <c r="U2" s="283">
        <v>2019</v>
      </c>
      <c r="V2" s="283">
        <v>2020</v>
      </c>
      <c r="W2" s="283">
        <v>2021</v>
      </c>
      <c r="X2" s="285" t="s">
        <v>16</v>
      </c>
      <c r="Z2" s="2" t="s">
        <v>17</v>
      </c>
      <c r="AA2" s="2" t="s">
        <v>18</v>
      </c>
      <c r="AB2" s="3" t="s">
        <v>19</v>
      </c>
    </row>
    <row r="3" spans="1:28" ht="15.75" thickBot="1">
      <c r="A3" s="294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90"/>
      <c r="P3" s="284"/>
      <c r="Q3" s="284"/>
      <c r="R3" s="284"/>
      <c r="S3" s="284"/>
      <c r="T3" s="284"/>
      <c r="U3" s="284"/>
      <c r="V3" s="284"/>
      <c r="W3" s="284"/>
      <c r="X3" s="286"/>
      <c r="Z3" s="4" t="s">
        <v>20</v>
      </c>
      <c r="AA3" s="5" t="s">
        <v>20</v>
      </c>
      <c r="AB3" s="6"/>
    </row>
    <row r="4" spans="1:28" ht="15.75" customHeight="1" thickBot="1">
      <c r="A4" s="168" t="s">
        <v>21</v>
      </c>
      <c r="B4" s="169">
        <f>+B5</f>
        <v>2116889</v>
      </c>
      <c r="C4" s="169">
        <f t="shared" ref="C4:X4" si="0">+C5</f>
        <v>0</v>
      </c>
      <c r="D4" s="169">
        <f t="shared" si="0"/>
        <v>0</v>
      </c>
      <c r="E4" s="169">
        <f t="shared" si="0"/>
        <v>0</v>
      </c>
      <c r="F4" s="169">
        <f t="shared" si="0"/>
        <v>0</v>
      </c>
      <c r="G4" s="169">
        <f t="shared" si="0"/>
        <v>0</v>
      </c>
      <c r="H4" s="169">
        <f t="shared" si="0"/>
        <v>0</v>
      </c>
      <c r="I4" s="169">
        <f t="shared" si="0"/>
        <v>0</v>
      </c>
      <c r="J4" s="169">
        <f t="shared" si="0"/>
        <v>0</v>
      </c>
      <c r="K4" s="169">
        <f t="shared" si="0"/>
        <v>0</v>
      </c>
      <c r="L4" s="169">
        <f t="shared" si="0"/>
        <v>0</v>
      </c>
      <c r="M4" s="169">
        <f t="shared" si="0"/>
        <v>6528732</v>
      </c>
      <c r="N4" s="169">
        <f t="shared" si="0"/>
        <v>7352521</v>
      </c>
      <c r="O4" s="169">
        <f t="shared" si="0"/>
        <v>0</v>
      </c>
      <c r="P4" s="169">
        <f t="shared" si="0"/>
        <v>0</v>
      </c>
      <c r="Q4" s="169">
        <f t="shared" si="0"/>
        <v>34682147</v>
      </c>
      <c r="R4" s="169">
        <f t="shared" si="0"/>
        <v>5184922</v>
      </c>
      <c r="S4" s="169">
        <f t="shared" si="0"/>
        <v>22888921</v>
      </c>
      <c r="T4" s="169">
        <f t="shared" si="0"/>
        <v>36903176</v>
      </c>
      <c r="U4" s="169">
        <f t="shared" si="0"/>
        <v>25716594</v>
      </c>
      <c r="V4" s="169">
        <f t="shared" si="0"/>
        <v>1596541</v>
      </c>
      <c r="W4" s="169">
        <f t="shared" si="0"/>
        <v>729918</v>
      </c>
      <c r="X4" s="170">
        <f t="shared" si="0"/>
        <v>143700361</v>
      </c>
      <c r="Z4" s="169">
        <f t="shared" ref="Z4:AB4" si="1">+Z5</f>
        <v>142970443</v>
      </c>
      <c r="AA4" s="169">
        <f t="shared" si="1"/>
        <v>729918</v>
      </c>
      <c r="AB4" s="169">
        <f t="shared" si="1"/>
        <v>143700361</v>
      </c>
    </row>
    <row r="5" spans="1:28" ht="15" customHeight="1">
      <c r="A5" s="171" t="s">
        <v>22</v>
      </c>
      <c r="B5" s="172">
        <f t="shared" ref="B5:W5" si="2">+B23+B29+B33+B38</f>
        <v>2116889</v>
      </c>
      <c r="C5" s="172">
        <f t="shared" si="2"/>
        <v>0</v>
      </c>
      <c r="D5" s="172">
        <f t="shared" si="2"/>
        <v>0</v>
      </c>
      <c r="E5" s="172">
        <f t="shared" si="2"/>
        <v>0</v>
      </c>
      <c r="F5" s="172">
        <f t="shared" si="2"/>
        <v>0</v>
      </c>
      <c r="G5" s="172">
        <f t="shared" si="2"/>
        <v>0</v>
      </c>
      <c r="H5" s="172">
        <f t="shared" si="2"/>
        <v>0</v>
      </c>
      <c r="I5" s="172">
        <f t="shared" si="2"/>
        <v>0</v>
      </c>
      <c r="J5" s="172">
        <f t="shared" si="2"/>
        <v>0</v>
      </c>
      <c r="K5" s="172">
        <f t="shared" si="2"/>
        <v>0</v>
      </c>
      <c r="L5" s="172">
        <f t="shared" si="2"/>
        <v>0</v>
      </c>
      <c r="M5" s="172">
        <f t="shared" si="2"/>
        <v>6528732</v>
      </c>
      <c r="N5" s="172">
        <f t="shared" si="2"/>
        <v>7352521</v>
      </c>
      <c r="O5" s="172">
        <f t="shared" si="2"/>
        <v>0</v>
      </c>
      <c r="P5" s="172">
        <f t="shared" si="2"/>
        <v>0</v>
      </c>
      <c r="Q5" s="172">
        <f t="shared" si="2"/>
        <v>34682147</v>
      </c>
      <c r="R5" s="172">
        <f t="shared" si="2"/>
        <v>5184922</v>
      </c>
      <c r="S5" s="172">
        <f t="shared" si="2"/>
        <v>22888921</v>
      </c>
      <c r="T5" s="172">
        <f t="shared" si="2"/>
        <v>36903176</v>
      </c>
      <c r="U5" s="172">
        <f t="shared" si="2"/>
        <v>25716594</v>
      </c>
      <c r="V5" s="172">
        <f t="shared" si="2"/>
        <v>1596541</v>
      </c>
      <c r="W5" s="173">
        <f t="shared" si="2"/>
        <v>729918</v>
      </c>
      <c r="X5" s="174">
        <f>+X23+X29+X33+X38</f>
        <v>143700361</v>
      </c>
      <c r="Z5" s="172">
        <f>+Z23+Z29+Z33+Z38</f>
        <v>142970443</v>
      </c>
      <c r="AA5" s="172">
        <f>+AA23+AA29+AA33+AA38</f>
        <v>729918</v>
      </c>
      <c r="AB5" s="172">
        <f>+AB23+AB29+AB33+AB38</f>
        <v>143700361</v>
      </c>
    </row>
    <row r="6" spans="1:28" ht="15" customHeight="1">
      <c r="A6" s="175" t="s">
        <v>23</v>
      </c>
      <c r="B6" s="9"/>
      <c r="C6" s="9"/>
      <c r="D6" s="9"/>
      <c r="E6" s="10"/>
      <c r="F6" s="11"/>
      <c r="G6" s="11"/>
      <c r="H6" s="11"/>
      <c r="I6" s="22"/>
      <c r="J6" s="22"/>
      <c r="K6" s="22"/>
      <c r="L6" s="22"/>
      <c r="M6" s="22"/>
      <c r="N6" s="22"/>
      <c r="O6" s="14"/>
      <c r="P6" s="14"/>
      <c r="Q6" s="14"/>
      <c r="R6" s="14"/>
      <c r="S6" s="14"/>
      <c r="T6" s="14"/>
      <c r="U6" s="15"/>
      <c r="V6" s="15"/>
      <c r="W6" s="14"/>
      <c r="X6" s="18"/>
      <c r="Z6" s="17">
        <f t="shared" ref="Z6" si="3">SUM(B6:U6)</f>
        <v>0</v>
      </c>
      <c r="AA6" s="17">
        <f t="shared" ref="AA6:AA63" si="4">+V6</f>
        <v>0</v>
      </c>
      <c r="AB6" s="176">
        <f t="shared" ref="AB6" si="5">+Z6+AA6</f>
        <v>0</v>
      </c>
    </row>
    <row r="7" spans="1:28" ht="26.25" customHeight="1">
      <c r="A7" s="7" t="s">
        <v>24</v>
      </c>
      <c r="B7" s="8">
        <v>2116889</v>
      </c>
      <c r="C7" s="9"/>
      <c r="D7" s="9"/>
      <c r="E7" s="10"/>
      <c r="F7" s="11"/>
      <c r="G7" s="11"/>
      <c r="H7" s="11"/>
      <c r="I7" s="12"/>
      <c r="J7" s="12"/>
      <c r="K7" s="12"/>
      <c r="L7" s="12"/>
      <c r="M7" s="12"/>
      <c r="N7" s="12"/>
      <c r="O7" s="13"/>
      <c r="P7" s="14"/>
      <c r="Q7" s="14"/>
      <c r="R7" s="14"/>
      <c r="S7" s="14"/>
      <c r="T7" s="14"/>
      <c r="U7" s="15"/>
      <c r="V7" s="15"/>
      <c r="W7" s="14"/>
      <c r="X7" s="16">
        <f>SUM(B7:W7)</f>
        <v>2116889</v>
      </c>
      <c r="Z7" s="17">
        <f>SUM(B7:V7)</f>
        <v>2116889</v>
      </c>
      <c r="AA7" s="17">
        <f>+W7</f>
        <v>0</v>
      </c>
      <c r="AB7" s="18">
        <f>+Z7+AA7</f>
        <v>2116889</v>
      </c>
    </row>
    <row r="8" spans="1:28" ht="13.5" customHeight="1">
      <c r="A8" s="19" t="s">
        <v>25</v>
      </c>
      <c r="B8" s="20"/>
      <c r="C8" s="21"/>
      <c r="D8" s="9"/>
      <c r="E8" s="10"/>
      <c r="F8" s="11"/>
      <c r="G8" s="11"/>
      <c r="H8" s="22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5"/>
      <c r="V8" s="15">
        <v>738037</v>
      </c>
      <c r="W8" s="14"/>
      <c r="X8" s="16">
        <f t="shared" ref="X8:X22" si="6">SUM(B8:W8)</f>
        <v>738037</v>
      </c>
      <c r="Z8" s="17">
        <f t="shared" ref="Z8:Z22" si="7">SUM(B8:V8)</f>
        <v>738037</v>
      </c>
      <c r="AA8" s="17">
        <f t="shared" ref="AA8:AA22" si="8">+W8</f>
        <v>0</v>
      </c>
      <c r="AB8" s="18">
        <f t="shared" ref="AB8:AB22" si="9">+Z8+AA8</f>
        <v>738037</v>
      </c>
    </row>
    <row r="9" spans="1:28" ht="12.75" customHeight="1">
      <c r="A9" s="23" t="s">
        <v>26</v>
      </c>
      <c r="B9" s="24"/>
      <c r="C9" s="25"/>
      <c r="D9" s="26"/>
      <c r="E9" s="10"/>
      <c r="F9" s="11"/>
      <c r="G9" s="11"/>
      <c r="H9" s="22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5"/>
      <c r="V9" s="15">
        <v>0</v>
      </c>
      <c r="W9" s="14"/>
      <c r="X9" s="16">
        <f t="shared" si="6"/>
        <v>0</v>
      </c>
      <c r="Z9" s="17">
        <f t="shared" si="7"/>
        <v>0</v>
      </c>
      <c r="AA9" s="17">
        <f t="shared" si="8"/>
        <v>0</v>
      </c>
      <c r="AB9" s="18">
        <f t="shared" si="9"/>
        <v>0</v>
      </c>
    </row>
    <row r="10" spans="1:28" ht="23.25" customHeight="1">
      <c r="A10" s="23" t="s">
        <v>27</v>
      </c>
      <c r="B10" s="27"/>
      <c r="C10" s="27"/>
      <c r="D10" s="27"/>
      <c r="E10" s="28"/>
      <c r="F10" s="28"/>
      <c r="G10" s="28"/>
      <c r="H10" s="28"/>
      <c r="I10" s="29"/>
      <c r="J10" s="29"/>
      <c r="K10" s="29"/>
      <c r="L10" s="29"/>
      <c r="M10" s="29"/>
      <c r="N10" s="30">
        <v>2031360</v>
      </c>
      <c r="O10" s="31"/>
      <c r="P10" s="31"/>
      <c r="Q10" s="31"/>
      <c r="R10" s="14"/>
      <c r="S10" s="14"/>
      <c r="T10" s="14"/>
      <c r="U10" s="15"/>
      <c r="V10" s="15"/>
      <c r="W10" s="14"/>
      <c r="X10" s="16">
        <f t="shared" si="6"/>
        <v>2031360</v>
      </c>
      <c r="Z10" s="17">
        <f t="shared" si="7"/>
        <v>2031360</v>
      </c>
      <c r="AA10" s="17">
        <f t="shared" si="8"/>
        <v>0</v>
      </c>
      <c r="AB10" s="18">
        <f t="shared" si="9"/>
        <v>2031360</v>
      </c>
    </row>
    <row r="11" spans="1:28" ht="23.25" customHeight="1">
      <c r="A11" s="23" t="s">
        <v>28</v>
      </c>
      <c r="B11" s="27"/>
      <c r="C11" s="27"/>
      <c r="D11" s="27"/>
      <c r="E11" s="28"/>
      <c r="F11" s="28"/>
      <c r="G11" s="28"/>
      <c r="H11" s="28"/>
      <c r="I11" s="29"/>
      <c r="J11" s="29"/>
      <c r="K11" s="29"/>
      <c r="L11" s="29"/>
      <c r="M11" s="29">
        <f>1984518</f>
        <v>1984518</v>
      </c>
      <c r="N11" s="30">
        <v>2103727</v>
      </c>
      <c r="O11" s="31"/>
      <c r="P11" s="31"/>
      <c r="Q11" s="31">
        <f>1992015*2</f>
        <v>3984030</v>
      </c>
      <c r="R11" s="14">
        <v>2666924</v>
      </c>
      <c r="S11" s="14"/>
      <c r="T11" s="14"/>
      <c r="U11" s="15"/>
      <c r="V11" s="15"/>
      <c r="W11" s="14"/>
      <c r="X11" s="16">
        <f t="shared" si="6"/>
        <v>10739199</v>
      </c>
      <c r="Z11" s="17">
        <f t="shared" si="7"/>
        <v>10739199</v>
      </c>
      <c r="AA11" s="17">
        <f t="shared" si="8"/>
        <v>0</v>
      </c>
      <c r="AB11" s="18">
        <f t="shared" si="9"/>
        <v>10739199</v>
      </c>
    </row>
    <row r="12" spans="1:28" ht="23.25" customHeight="1">
      <c r="A12" s="23" t="s">
        <v>29</v>
      </c>
      <c r="B12" s="27"/>
      <c r="C12" s="27"/>
      <c r="D12" s="27"/>
      <c r="E12" s="28"/>
      <c r="F12" s="28"/>
      <c r="G12" s="28"/>
      <c r="H12" s="28"/>
      <c r="I12" s="29"/>
      <c r="J12" s="29"/>
      <c r="K12" s="29"/>
      <c r="L12" s="29"/>
      <c r="M12" s="29"/>
      <c r="N12" s="30"/>
      <c r="O12" s="31"/>
      <c r="P12" s="31"/>
      <c r="Q12" s="31"/>
      <c r="R12" s="14"/>
      <c r="S12" s="14">
        <f>4490430/3*2</f>
        <v>2993620</v>
      </c>
      <c r="T12" s="14">
        <v>7318266</v>
      </c>
      <c r="U12" s="15">
        <f>1698694*2+622853+1358954</f>
        <v>5379195</v>
      </c>
      <c r="V12" s="15"/>
      <c r="W12" s="14"/>
      <c r="X12" s="16">
        <f t="shared" si="6"/>
        <v>15691081</v>
      </c>
      <c r="Z12" s="17">
        <f t="shared" si="7"/>
        <v>15691081</v>
      </c>
      <c r="AA12" s="17">
        <f t="shared" si="8"/>
        <v>0</v>
      </c>
      <c r="AB12" s="18">
        <f t="shared" si="9"/>
        <v>15691081</v>
      </c>
    </row>
    <row r="13" spans="1:28" ht="15" customHeight="1">
      <c r="A13" s="32" t="s">
        <v>30</v>
      </c>
      <c r="B13" s="27"/>
      <c r="C13" s="27"/>
      <c r="D13" s="27"/>
      <c r="E13" s="28"/>
      <c r="F13" s="28"/>
      <c r="G13" s="28"/>
      <c r="H13" s="28"/>
      <c r="I13" s="29"/>
      <c r="J13" s="29"/>
      <c r="K13" s="29"/>
      <c r="L13" s="29"/>
      <c r="M13" s="29"/>
      <c r="N13" s="30"/>
      <c r="O13" s="31"/>
      <c r="P13" s="31"/>
      <c r="Q13" s="31"/>
      <c r="R13" s="14"/>
      <c r="S13" s="14">
        <f>2694258*2</f>
        <v>5388516</v>
      </c>
      <c r="T13" s="14">
        <f>2514641-2514641</f>
        <v>0</v>
      </c>
      <c r="U13" s="15"/>
      <c r="V13" s="15"/>
      <c r="W13" s="14"/>
      <c r="X13" s="16">
        <f t="shared" si="6"/>
        <v>5388516</v>
      </c>
      <c r="Z13" s="17">
        <f t="shared" si="7"/>
        <v>5388516</v>
      </c>
      <c r="AA13" s="17">
        <f t="shared" si="8"/>
        <v>0</v>
      </c>
      <c r="AB13" s="18">
        <f t="shared" si="9"/>
        <v>5388516</v>
      </c>
    </row>
    <row r="14" spans="1:28" ht="23.25" customHeight="1">
      <c r="A14" s="23" t="s">
        <v>31</v>
      </c>
      <c r="B14" s="27"/>
      <c r="C14" s="27"/>
      <c r="D14" s="27"/>
      <c r="E14" s="28"/>
      <c r="F14" s="28"/>
      <c r="G14" s="28"/>
      <c r="H14" s="28"/>
      <c r="I14" s="29"/>
      <c r="J14" s="29"/>
      <c r="K14" s="29"/>
      <c r="L14" s="29"/>
      <c r="M14" s="29">
        <f>1357132-M26-M35</f>
        <v>1016770</v>
      </c>
      <c r="N14" s="30">
        <f>1393696-N26</f>
        <v>1078587</v>
      </c>
      <c r="O14" s="31"/>
      <c r="P14" s="31"/>
      <c r="Q14" s="31">
        <f>1697864*3</f>
        <v>5093592</v>
      </c>
      <c r="R14" s="14"/>
      <c r="S14" s="14">
        <f>2918455-420080</f>
        <v>2498375</v>
      </c>
      <c r="T14" s="14">
        <v>8012700</v>
      </c>
      <c r="U14" s="15">
        <f>1407674*4</f>
        <v>5630696</v>
      </c>
      <c r="V14" s="15">
        <v>0</v>
      </c>
      <c r="W14" s="14"/>
      <c r="X14" s="16">
        <f t="shared" si="6"/>
        <v>23330720</v>
      </c>
      <c r="Z14" s="17">
        <f t="shared" si="7"/>
        <v>23330720</v>
      </c>
      <c r="AA14" s="17">
        <f t="shared" si="8"/>
        <v>0</v>
      </c>
      <c r="AB14" s="18">
        <f t="shared" si="9"/>
        <v>23330720</v>
      </c>
    </row>
    <row r="15" spans="1:28" ht="34.5" customHeight="1">
      <c r="A15" s="23" t="s">
        <v>32</v>
      </c>
      <c r="B15" s="27"/>
      <c r="C15" s="27"/>
      <c r="D15" s="27"/>
      <c r="E15" s="28"/>
      <c r="F15" s="28"/>
      <c r="G15" s="28"/>
      <c r="H15" s="28"/>
      <c r="I15" s="29"/>
      <c r="J15" s="29"/>
      <c r="K15" s="29"/>
      <c r="L15" s="29"/>
      <c r="M15" s="29">
        <f>142380+834040-M27-M31-M36</f>
        <v>702974</v>
      </c>
      <c r="N15" s="30">
        <f>1006586-N27-N31-N36</f>
        <v>672134</v>
      </c>
      <c r="O15" s="31"/>
      <c r="P15" s="31"/>
      <c r="Q15" s="31">
        <f>1044294*2+331716</f>
        <v>2420304</v>
      </c>
      <c r="R15" s="14"/>
      <c r="S15" s="14">
        <v>1974605</v>
      </c>
      <c r="T15" s="14">
        <v>2823173</v>
      </c>
      <c r="U15" s="15">
        <f>671136+1304383+73017+73017+269565+1257498+147408*6</f>
        <v>4533064</v>
      </c>
      <c r="V15" s="15">
        <f>28377*12</f>
        <v>340524</v>
      </c>
      <c r="W15" s="14">
        <f>81102*9</f>
        <v>729918</v>
      </c>
      <c r="X15" s="16">
        <f t="shared" si="6"/>
        <v>14196696</v>
      </c>
      <c r="Z15" s="17">
        <f t="shared" si="7"/>
        <v>13466778</v>
      </c>
      <c r="AA15" s="17">
        <f t="shared" si="8"/>
        <v>729918</v>
      </c>
      <c r="AB15" s="18">
        <f t="shared" si="9"/>
        <v>14196696</v>
      </c>
    </row>
    <row r="16" spans="1:28" ht="23.25" customHeight="1">
      <c r="A16" s="23" t="s">
        <v>33</v>
      </c>
      <c r="B16" s="33"/>
      <c r="C16" s="33"/>
      <c r="D16" s="33"/>
      <c r="E16" s="34"/>
      <c r="F16" s="34"/>
      <c r="G16" s="34"/>
      <c r="H16" s="34"/>
      <c r="I16" s="35"/>
      <c r="J16" s="35"/>
      <c r="K16" s="35"/>
      <c r="L16" s="35"/>
      <c r="M16" s="35">
        <f>1191337-M25</f>
        <v>893503</v>
      </c>
      <c r="N16" s="30">
        <f>1260435-N25-945326</f>
        <v>315109</v>
      </c>
      <c r="O16" s="31"/>
      <c r="P16" s="31"/>
      <c r="Q16" s="36">
        <f>1697864*3</f>
        <v>5093592</v>
      </c>
      <c r="R16" s="14"/>
      <c r="S16" s="14">
        <v>1763789</v>
      </c>
      <c r="T16" s="14"/>
      <c r="U16" s="15"/>
      <c r="V16" s="15"/>
      <c r="W16" s="14"/>
      <c r="X16" s="16">
        <f t="shared" si="6"/>
        <v>8065993</v>
      </c>
      <c r="Z16" s="17">
        <f t="shared" si="7"/>
        <v>8065993</v>
      </c>
      <c r="AA16" s="17">
        <f t="shared" si="8"/>
        <v>0</v>
      </c>
      <c r="AB16" s="18">
        <f t="shared" si="9"/>
        <v>8065993</v>
      </c>
    </row>
    <row r="17" spans="1:28" ht="34.5" customHeight="1">
      <c r="A17" s="37" t="s">
        <v>34</v>
      </c>
      <c r="B17" s="33"/>
      <c r="C17" s="33"/>
      <c r="D17" s="33"/>
      <c r="E17" s="34"/>
      <c r="F17" s="34"/>
      <c r="G17" s="34"/>
      <c r="H17" s="34"/>
      <c r="I17" s="35"/>
      <c r="J17" s="35"/>
      <c r="K17" s="35"/>
      <c r="L17" s="35"/>
      <c r="M17" s="35">
        <f>226079+793246-M28-M32-M37</f>
        <v>726799</v>
      </c>
      <c r="N17" s="30">
        <v>0</v>
      </c>
      <c r="O17" s="31"/>
      <c r="P17" s="31"/>
      <c r="Q17" s="31">
        <f>1295994*2+423552-Q28-Q32-Q37</f>
        <v>2119523</v>
      </c>
      <c r="R17" s="14"/>
      <c r="S17" s="14">
        <v>2296737</v>
      </c>
      <c r="T17" s="14">
        <v>7139084</v>
      </c>
      <c r="U17" s="15">
        <f>1712889*3+1353151</f>
        <v>6491818</v>
      </c>
      <c r="V17" s="15">
        <v>0</v>
      </c>
      <c r="W17" s="14">
        <v>0</v>
      </c>
      <c r="X17" s="16">
        <f t="shared" si="6"/>
        <v>18773961</v>
      </c>
      <c r="Z17" s="17">
        <f t="shared" si="7"/>
        <v>18773961</v>
      </c>
      <c r="AA17" s="17">
        <f t="shared" si="8"/>
        <v>0</v>
      </c>
      <c r="AB17" s="18">
        <f t="shared" si="9"/>
        <v>18773961</v>
      </c>
    </row>
    <row r="18" spans="1:28" ht="15" customHeight="1">
      <c r="A18" s="23" t="s">
        <v>35</v>
      </c>
      <c r="B18" s="17"/>
      <c r="C18" s="17"/>
      <c r="D18" s="17"/>
      <c r="E18" s="31"/>
      <c r="F18" s="31"/>
      <c r="G18" s="31"/>
      <c r="H18" s="31"/>
      <c r="I18" s="31"/>
      <c r="J18" s="31"/>
      <c r="K18" s="31"/>
      <c r="L18" s="31"/>
      <c r="M18" s="31"/>
      <c r="N18" s="30"/>
      <c r="O18" s="31"/>
      <c r="P18" s="31"/>
      <c r="Q18" s="31">
        <f>2421152*3</f>
        <v>7263456</v>
      </c>
      <c r="R18" s="14">
        <v>2517998</v>
      </c>
      <c r="S18" s="14"/>
      <c r="T18" s="14"/>
      <c r="U18" s="15"/>
      <c r="V18" s="15"/>
      <c r="W18" s="14"/>
      <c r="X18" s="16">
        <f t="shared" si="6"/>
        <v>9781454</v>
      </c>
      <c r="Z18" s="17">
        <f t="shared" si="7"/>
        <v>9781454</v>
      </c>
      <c r="AA18" s="17">
        <f t="shared" si="8"/>
        <v>0</v>
      </c>
      <c r="AB18" s="18">
        <f t="shared" si="9"/>
        <v>9781454</v>
      </c>
    </row>
    <row r="19" spans="1:28" ht="15" customHeight="1">
      <c r="A19" s="23" t="s">
        <v>36</v>
      </c>
      <c r="B19" s="17"/>
      <c r="C19" s="17"/>
      <c r="D19" s="17"/>
      <c r="E19" s="31"/>
      <c r="F19" s="31"/>
      <c r="G19" s="31"/>
      <c r="H19" s="31"/>
      <c r="I19" s="31"/>
      <c r="J19" s="31"/>
      <c r="K19" s="31"/>
      <c r="L19" s="31"/>
      <c r="M19" s="31"/>
      <c r="N19" s="30"/>
      <c r="O19" s="31"/>
      <c r="P19" s="31"/>
      <c r="Q19" s="31"/>
      <c r="R19" s="14"/>
      <c r="S19" s="14">
        <v>2514641</v>
      </c>
      <c r="T19" s="14">
        <v>0</v>
      </c>
      <c r="U19" s="15"/>
      <c r="V19" s="15"/>
      <c r="W19" s="14"/>
      <c r="X19" s="16">
        <f t="shared" si="6"/>
        <v>2514641</v>
      </c>
      <c r="Z19" s="17">
        <f t="shared" si="7"/>
        <v>2514641</v>
      </c>
      <c r="AA19" s="17">
        <f t="shared" si="8"/>
        <v>0</v>
      </c>
      <c r="AB19" s="18">
        <f t="shared" si="9"/>
        <v>2514641</v>
      </c>
    </row>
    <row r="20" spans="1:28" ht="15" customHeight="1">
      <c r="A20" s="23" t="s">
        <v>37</v>
      </c>
      <c r="B20" s="17"/>
      <c r="C20" s="17"/>
      <c r="D20" s="17"/>
      <c r="E20" s="31"/>
      <c r="F20" s="31"/>
      <c r="G20" s="31"/>
      <c r="H20" s="31"/>
      <c r="I20" s="31"/>
      <c r="J20" s="31"/>
      <c r="K20" s="31"/>
      <c r="L20" s="31"/>
      <c r="M20" s="31"/>
      <c r="N20" s="30"/>
      <c r="O20" s="31"/>
      <c r="P20" s="31"/>
      <c r="Q20" s="31"/>
      <c r="R20" s="14"/>
      <c r="S20" s="14"/>
      <c r="T20" s="14">
        <f>2694258*4</f>
        <v>10777032</v>
      </c>
      <c r="U20" s="15"/>
      <c r="V20" s="15"/>
      <c r="W20" s="14"/>
      <c r="X20" s="16">
        <f t="shared" si="6"/>
        <v>10777032</v>
      </c>
      <c r="Z20" s="17">
        <f t="shared" si="7"/>
        <v>10777032</v>
      </c>
      <c r="AA20" s="17">
        <f t="shared" si="8"/>
        <v>0</v>
      </c>
      <c r="AB20" s="18">
        <f t="shared" si="9"/>
        <v>10777032</v>
      </c>
    </row>
    <row r="21" spans="1:28" ht="23.25" customHeight="1">
      <c r="A21" s="23" t="s">
        <v>38</v>
      </c>
      <c r="B21" s="17"/>
      <c r="C21" s="17"/>
      <c r="D21" s="17"/>
      <c r="E21" s="31"/>
      <c r="F21" s="31"/>
      <c r="G21" s="31"/>
      <c r="H21" s="31"/>
      <c r="I21" s="31"/>
      <c r="J21" s="31"/>
      <c r="K21" s="31"/>
      <c r="L21" s="31"/>
      <c r="M21" s="31"/>
      <c r="N21" s="30"/>
      <c r="O21" s="31"/>
      <c r="P21" s="31"/>
      <c r="Q21" s="31">
        <f>1359865*3</f>
        <v>4079595</v>
      </c>
      <c r="R21" s="14"/>
      <c r="S21" s="14"/>
      <c r="T21" s="14"/>
      <c r="U21" s="15"/>
      <c r="V21" s="15"/>
      <c r="W21" s="14"/>
      <c r="X21" s="16">
        <f t="shared" si="6"/>
        <v>4079595</v>
      </c>
      <c r="Z21" s="17">
        <f t="shared" si="7"/>
        <v>4079595</v>
      </c>
      <c r="AA21" s="17">
        <f t="shared" si="8"/>
        <v>0</v>
      </c>
      <c r="AB21" s="18">
        <f t="shared" si="9"/>
        <v>4079595</v>
      </c>
    </row>
    <row r="22" spans="1:28" ht="24" customHeight="1" thickBot="1">
      <c r="A22" s="23" t="s">
        <v>39</v>
      </c>
      <c r="B22" s="38"/>
      <c r="C22" s="38"/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40"/>
      <c r="O22" s="41"/>
      <c r="P22" s="17"/>
      <c r="Q22" s="17">
        <f>1854089*3-5000000</f>
        <v>562267</v>
      </c>
      <c r="R22" s="14"/>
      <c r="S22" s="14"/>
      <c r="T22" s="14"/>
      <c r="U22" s="15"/>
      <c r="V22" s="15"/>
      <c r="W22" s="14"/>
      <c r="X22" s="16">
        <f t="shared" si="6"/>
        <v>562267</v>
      </c>
      <c r="Z22" s="17">
        <f t="shared" si="7"/>
        <v>562267</v>
      </c>
      <c r="AA22" s="17">
        <f t="shared" si="8"/>
        <v>0</v>
      </c>
      <c r="AB22" s="18">
        <f t="shared" si="9"/>
        <v>562267</v>
      </c>
    </row>
    <row r="23" spans="1:28" ht="15.75" customHeight="1" thickBot="1">
      <c r="A23" s="177" t="s">
        <v>40</v>
      </c>
      <c r="B23" s="178">
        <f t="shared" ref="B23:W23" si="10">SUM(B7:B22)</f>
        <v>2116889</v>
      </c>
      <c r="C23" s="178">
        <f t="shared" si="10"/>
        <v>0</v>
      </c>
      <c r="D23" s="178">
        <f t="shared" si="10"/>
        <v>0</v>
      </c>
      <c r="E23" s="178">
        <f t="shared" si="10"/>
        <v>0</v>
      </c>
      <c r="F23" s="178">
        <f t="shared" si="10"/>
        <v>0</v>
      </c>
      <c r="G23" s="178">
        <f t="shared" si="10"/>
        <v>0</v>
      </c>
      <c r="H23" s="178">
        <f t="shared" si="10"/>
        <v>0</v>
      </c>
      <c r="I23" s="178">
        <f t="shared" si="10"/>
        <v>0</v>
      </c>
      <c r="J23" s="178">
        <f t="shared" si="10"/>
        <v>0</v>
      </c>
      <c r="K23" s="178">
        <f t="shared" si="10"/>
        <v>0</v>
      </c>
      <c r="L23" s="178">
        <f t="shared" si="10"/>
        <v>0</v>
      </c>
      <c r="M23" s="178">
        <f t="shared" si="10"/>
        <v>5324564</v>
      </c>
      <c r="N23" s="178">
        <f t="shared" si="10"/>
        <v>6200917</v>
      </c>
      <c r="O23" s="178">
        <f t="shared" si="10"/>
        <v>0</v>
      </c>
      <c r="P23" s="178">
        <f t="shared" si="10"/>
        <v>0</v>
      </c>
      <c r="Q23" s="178">
        <f t="shared" si="10"/>
        <v>30616359</v>
      </c>
      <c r="R23" s="178">
        <f t="shared" si="10"/>
        <v>5184922</v>
      </c>
      <c r="S23" s="178">
        <f t="shared" si="10"/>
        <v>19430283</v>
      </c>
      <c r="T23" s="178">
        <f t="shared" si="10"/>
        <v>36070255</v>
      </c>
      <c r="U23" s="178">
        <f t="shared" si="10"/>
        <v>22034773</v>
      </c>
      <c r="V23" s="179">
        <f t="shared" si="10"/>
        <v>1078561</v>
      </c>
      <c r="W23" s="179">
        <f t="shared" si="10"/>
        <v>729918</v>
      </c>
      <c r="X23" s="16">
        <f>SUM(X7:X22)</f>
        <v>128787441</v>
      </c>
      <c r="Z23" s="178">
        <f>SUM(Z7:Z22)</f>
        <v>128057523</v>
      </c>
      <c r="AA23" s="178">
        <f>SUM(AA7:AA22)</f>
        <v>729918</v>
      </c>
      <c r="AB23" s="178">
        <f>SUM(AB7:AB22)</f>
        <v>128787441</v>
      </c>
    </row>
    <row r="24" spans="1:28">
      <c r="A24" s="180" t="s">
        <v>41</v>
      </c>
      <c r="B24" s="47"/>
      <c r="C24" s="47"/>
      <c r="D24" s="47"/>
      <c r="E24" s="181"/>
      <c r="F24" s="181"/>
      <c r="G24" s="181"/>
      <c r="H24" s="181"/>
      <c r="I24" s="182"/>
      <c r="J24" s="182"/>
      <c r="K24" s="182"/>
      <c r="L24" s="182"/>
      <c r="M24" s="182"/>
      <c r="N24" s="145"/>
      <c r="O24" s="86"/>
      <c r="P24" s="86"/>
      <c r="Q24" s="86"/>
      <c r="R24" s="86"/>
      <c r="S24" s="86"/>
      <c r="T24" s="86"/>
      <c r="U24" s="87"/>
      <c r="V24" s="87"/>
      <c r="W24" s="86"/>
      <c r="X24" s="16">
        <f t="shared" ref="X24:X61" si="11">SUM(B24:W24)</f>
        <v>0</v>
      </c>
      <c r="Z24" s="17">
        <f t="shared" ref="Z24:Z28" si="12">SUM(B24:V24)</f>
        <v>0</v>
      </c>
      <c r="AA24" s="17">
        <f t="shared" ref="AA24:AA28" si="13">+W24</f>
        <v>0</v>
      </c>
      <c r="AB24" s="18">
        <f t="shared" ref="AB24:AB28" si="14">+Z24+AA24</f>
        <v>0</v>
      </c>
    </row>
    <row r="25" spans="1:28" ht="15" customHeight="1">
      <c r="A25" s="23" t="s">
        <v>42</v>
      </c>
      <c r="B25" s="42"/>
      <c r="C25" s="42"/>
      <c r="D25" s="42"/>
      <c r="E25" s="43"/>
      <c r="F25" s="28"/>
      <c r="G25" s="28"/>
      <c r="H25" s="28"/>
      <c r="I25" s="28"/>
      <c r="J25" s="28"/>
      <c r="K25" s="29"/>
      <c r="L25" s="29"/>
      <c r="M25" s="35">
        <f>297834</f>
        <v>297834</v>
      </c>
      <c r="N25" s="30">
        <v>0</v>
      </c>
      <c r="O25" s="31"/>
      <c r="P25" s="31"/>
      <c r="Q25" s="31">
        <f>358282*3</f>
        <v>1074846</v>
      </c>
      <c r="R25" s="31"/>
      <c r="S25" s="31"/>
      <c r="T25" s="31"/>
      <c r="U25" s="30"/>
      <c r="V25" s="30"/>
      <c r="W25" s="31"/>
      <c r="X25" s="16">
        <f t="shared" si="11"/>
        <v>1372680</v>
      </c>
      <c r="Z25" s="17">
        <f t="shared" si="12"/>
        <v>1372680</v>
      </c>
      <c r="AA25" s="17">
        <f t="shared" si="13"/>
        <v>0</v>
      </c>
      <c r="AB25" s="18">
        <f t="shared" si="14"/>
        <v>1372680</v>
      </c>
    </row>
    <row r="26" spans="1:28" ht="15" customHeight="1">
      <c r="A26" s="23" t="s">
        <v>43</v>
      </c>
      <c r="B26" s="42"/>
      <c r="C26" s="42"/>
      <c r="D26" s="42"/>
      <c r="E26" s="43"/>
      <c r="F26" s="28"/>
      <c r="G26" s="28"/>
      <c r="H26" s="28"/>
      <c r="I26" s="28"/>
      <c r="J26" s="28"/>
      <c r="K26" s="29"/>
      <c r="L26" s="29"/>
      <c r="M26" s="35">
        <f>297834</f>
        <v>297834</v>
      </c>
      <c r="N26" s="30">
        <f>315109</f>
        <v>315109</v>
      </c>
      <c r="O26" s="31"/>
      <c r="P26" s="31"/>
      <c r="Q26" s="31">
        <f>358282*3</f>
        <v>1074846</v>
      </c>
      <c r="R26" s="31"/>
      <c r="S26" s="31">
        <f>292377*3</f>
        <v>877131</v>
      </c>
      <c r="T26" s="31">
        <v>0</v>
      </c>
      <c r="U26" s="30">
        <f>298368*3</f>
        <v>895104</v>
      </c>
      <c r="V26" s="30"/>
      <c r="W26" s="31"/>
      <c r="X26" s="16">
        <f t="shared" si="11"/>
        <v>3460024</v>
      </c>
      <c r="Z26" s="17">
        <f t="shared" si="12"/>
        <v>3460024</v>
      </c>
      <c r="AA26" s="17">
        <f t="shared" si="13"/>
        <v>0</v>
      </c>
      <c r="AB26" s="18">
        <f t="shared" si="14"/>
        <v>3460024</v>
      </c>
    </row>
    <row r="27" spans="1:28" ht="15" customHeight="1">
      <c r="A27" s="23" t="s">
        <v>44</v>
      </c>
      <c r="B27" s="42"/>
      <c r="C27" s="42"/>
      <c r="D27" s="42"/>
      <c r="E27" s="43"/>
      <c r="F27" s="28"/>
      <c r="G27" s="28"/>
      <c r="H27" s="28"/>
      <c r="I27" s="28"/>
      <c r="J27" s="28"/>
      <c r="K27" s="29"/>
      <c r="L27" s="29"/>
      <c r="M27" s="35">
        <f>211838</f>
        <v>211838</v>
      </c>
      <c r="N27" s="30">
        <f>224124</f>
        <v>224124</v>
      </c>
      <c r="O27" s="31"/>
      <c r="P27" s="31"/>
      <c r="Q27" s="31">
        <f>254832*2+76450</f>
        <v>586114</v>
      </c>
      <c r="R27" s="31"/>
      <c r="S27" s="31">
        <f>264672+217409+415774</f>
        <v>897855</v>
      </c>
      <c r="T27" s="31">
        <v>0</v>
      </c>
      <c r="U27" s="30">
        <f>146218+269941+33743+33743+112475+292436</f>
        <v>888556</v>
      </c>
      <c r="V27" s="30">
        <f>35470*12</f>
        <v>425640</v>
      </c>
      <c r="W27" s="31"/>
      <c r="X27" s="16">
        <f t="shared" si="11"/>
        <v>3234127</v>
      </c>
      <c r="Z27" s="17">
        <f t="shared" si="12"/>
        <v>3234127</v>
      </c>
      <c r="AA27" s="17">
        <f t="shared" si="13"/>
        <v>0</v>
      </c>
      <c r="AB27" s="18">
        <f t="shared" si="14"/>
        <v>3234127</v>
      </c>
    </row>
    <row r="28" spans="1:28" ht="15.75" customHeight="1" thickBot="1">
      <c r="A28" s="37" t="s">
        <v>45</v>
      </c>
      <c r="B28" s="44"/>
      <c r="C28" s="44"/>
      <c r="D28" s="44"/>
      <c r="E28" s="45"/>
      <c r="F28" s="34"/>
      <c r="G28" s="34"/>
      <c r="H28" s="34"/>
      <c r="I28" s="34"/>
      <c r="J28" s="34"/>
      <c r="K28" s="35"/>
      <c r="L28" s="35"/>
      <c r="M28" s="35">
        <f>211838</f>
        <v>211838</v>
      </c>
      <c r="N28" s="40">
        <f>156887</f>
        <v>156887</v>
      </c>
      <c r="O28" s="39"/>
      <c r="P28" s="39"/>
      <c r="Q28" s="39">
        <f>254832*2+93438</f>
        <v>603102</v>
      </c>
      <c r="R28" s="39"/>
      <c r="S28" s="39">
        <f>283577*3</f>
        <v>850731</v>
      </c>
      <c r="T28" s="39">
        <v>0</v>
      </c>
      <c r="U28" s="40">
        <f>337426*3</f>
        <v>1012278</v>
      </c>
      <c r="V28" s="30"/>
      <c r="W28" s="31"/>
      <c r="X28" s="16">
        <f t="shared" si="11"/>
        <v>2834836</v>
      </c>
      <c r="Z28" s="17">
        <f t="shared" si="12"/>
        <v>2834836</v>
      </c>
      <c r="AA28" s="17">
        <f t="shared" si="13"/>
        <v>0</v>
      </c>
      <c r="AB28" s="18">
        <f t="shared" si="14"/>
        <v>2834836</v>
      </c>
    </row>
    <row r="29" spans="1:28" ht="15.75" customHeight="1" thickBot="1">
      <c r="A29" s="183" t="s">
        <v>46</v>
      </c>
      <c r="B29" s="184">
        <f t="shared" ref="B29:P29" si="15">SUM(B25:B28)</f>
        <v>0</v>
      </c>
      <c r="C29" s="184">
        <f t="shared" si="15"/>
        <v>0</v>
      </c>
      <c r="D29" s="184">
        <f t="shared" si="15"/>
        <v>0</v>
      </c>
      <c r="E29" s="184">
        <f t="shared" si="15"/>
        <v>0</v>
      </c>
      <c r="F29" s="184">
        <f t="shared" si="15"/>
        <v>0</v>
      </c>
      <c r="G29" s="184">
        <f t="shared" si="15"/>
        <v>0</v>
      </c>
      <c r="H29" s="184">
        <f t="shared" si="15"/>
        <v>0</v>
      </c>
      <c r="I29" s="184">
        <f t="shared" si="15"/>
        <v>0</v>
      </c>
      <c r="J29" s="184">
        <f t="shared" si="15"/>
        <v>0</v>
      </c>
      <c r="K29" s="184">
        <f t="shared" si="15"/>
        <v>0</v>
      </c>
      <c r="L29" s="184">
        <f t="shared" si="15"/>
        <v>0</v>
      </c>
      <c r="M29" s="185">
        <f t="shared" si="15"/>
        <v>1019344</v>
      </c>
      <c r="N29" s="179">
        <f t="shared" si="15"/>
        <v>696120</v>
      </c>
      <c r="O29" s="186">
        <f t="shared" si="15"/>
        <v>0</v>
      </c>
      <c r="P29" s="187">
        <f t="shared" si="15"/>
        <v>0</v>
      </c>
      <c r="Q29" s="187">
        <f>SUM(Q25:Q28)</f>
        <v>3338908</v>
      </c>
      <c r="R29" s="187">
        <f t="shared" ref="R29:W29" si="16">SUM(R25:R28)</f>
        <v>0</v>
      </c>
      <c r="S29" s="187">
        <f t="shared" si="16"/>
        <v>2625717</v>
      </c>
      <c r="T29" s="187">
        <f t="shared" si="16"/>
        <v>0</v>
      </c>
      <c r="U29" s="187">
        <f t="shared" si="16"/>
        <v>2795938</v>
      </c>
      <c r="V29" s="188">
        <f t="shared" si="16"/>
        <v>425640</v>
      </c>
      <c r="W29" s="188">
        <f t="shared" si="16"/>
        <v>0</v>
      </c>
      <c r="X29" s="16">
        <f>SUM(X24:X28)</f>
        <v>10901667</v>
      </c>
      <c r="Z29" s="187">
        <f>SUM(Z25:Z28)</f>
        <v>10901667</v>
      </c>
      <c r="AA29" s="187">
        <f t="shared" ref="AA29:AB29" si="17">SUM(AA25:AA28)</f>
        <v>0</v>
      </c>
      <c r="AB29" s="187">
        <f t="shared" si="17"/>
        <v>10901667</v>
      </c>
    </row>
    <row r="30" spans="1:28">
      <c r="A30" s="180" t="s">
        <v>47</v>
      </c>
      <c r="B30" s="47"/>
      <c r="C30" s="47"/>
      <c r="D30" s="47"/>
      <c r="E30" s="181"/>
      <c r="F30" s="181"/>
      <c r="G30" s="181"/>
      <c r="H30" s="181"/>
      <c r="I30" s="182"/>
      <c r="J30" s="182"/>
      <c r="K30" s="182"/>
      <c r="L30" s="182"/>
      <c r="M30" s="182"/>
      <c r="N30" s="146"/>
      <c r="P30" s="146"/>
      <c r="Q30" s="146"/>
      <c r="R30" s="146"/>
      <c r="S30" s="146"/>
      <c r="T30" s="146"/>
      <c r="U30" s="145"/>
      <c r="V30" s="87"/>
      <c r="W30" s="86"/>
      <c r="X30" s="16">
        <f t="shared" si="11"/>
        <v>0</v>
      </c>
      <c r="Z30" s="17">
        <f t="shared" ref="Z30:Z32" si="18">SUM(B30:V30)</f>
        <v>0</v>
      </c>
      <c r="AA30" s="17">
        <f t="shared" ref="AA30:AA32" si="19">+W30</f>
        <v>0</v>
      </c>
      <c r="AB30" s="18">
        <f t="shared" ref="AB30:AB32" si="20">+Z30+AA30</f>
        <v>0</v>
      </c>
    </row>
    <row r="31" spans="1:28" ht="15" customHeight="1">
      <c r="A31" s="23" t="s">
        <v>44</v>
      </c>
      <c r="B31" s="42"/>
      <c r="C31" s="42"/>
      <c r="D31" s="42"/>
      <c r="E31" s="43"/>
      <c r="F31" s="28"/>
      <c r="G31" s="28"/>
      <c r="H31" s="28"/>
      <c r="I31" s="28"/>
      <c r="J31" s="28"/>
      <c r="K31" s="29"/>
      <c r="L31" s="29"/>
      <c r="M31" s="35">
        <f>19080</f>
        <v>19080</v>
      </c>
      <c r="N31" s="30">
        <v>67800</v>
      </c>
      <c r="O31" s="31"/>
      <c r="P31" s="31"/>
      <c r="Q31" s="31">
        <f>74000*2+22200</f>
        <v>170200</v>
      </c>
      <c r="R31" s="31"/>
      <c r="S31" s="31">
        <f>80369+77597+80368</f>
        <v>238334</v>
      </c>
      <c r="T31" s="31">
        <v>238334</v>
      </c>
      <c r="U31" s="30">
        <v>193403</v>
      </c>
      <c r="V31" s="30">
        <f>1085*12</f>
        <v>13020</v>
      </c>
      <c r="W31" s="31"/>
      <c r="X31" s="16">
        <f t="shared" si="11"/>
        <v>940171</v>
      </c>
      <c r="Z31" s="17">
        <f t="shared" si="18"/>
        <v>940171</v>
      </c>
      <c r="AA31" s="17">
        <f t="shared" si="19"/>
        <v>0</v>
      </c>
      <c r="AB31" s="18">
        <f t="shared" si="20"/>
        <v>940171</v>
      </c>
    </row>
    <row r="32" spans="1:28" ht="15.75" customHeight="1" thickBot="1">
      <c r="A32" s="37" t="s">
        <v>45</v>
      </c>
      <c r="B32" s="44"/>
      <c r="C32" s="44"/>
      <c r="D32" s="44"/>
      <c r="E32" s="45"/>
      <c r="F32" s="34"/>
      <c r="G32" s="34"/>
      <c r="H32" s="34"/>
      <c r="I32" s="34"/>
      <c r="J32" s="34"/>
      <c r="K32" s="35"/>
      <c r="L32" s="35"/>
      <c r="M32" s="35">
        <f>38160</f>
        <v>38160</v>
      </c>
      <c r="N32" s="40">
        <v>47460</v>
      </c>
      <c r="O32" s="39"/>
      <c r="P32" s="39"/>
      <c r="Q32" s="39">
        <f>74000*2+27133</f>
        <v>175133</v>
      </c>
      <c r="R32" s="39"/>
      <c r="S32" s="39">
        <f>83140*3</f>
        <v>249420</v>
      </c>
      <c r="T32" s="39">
        <v>249420</v>
      </c>
      <c r="U32" s="40">
        <f>97032*3</f>
        <v>291096</v>
      </c>
      <c r="V32" s="30">
        <v>0</v>
      </c>
      <c r="W32" s="31"/>
      <c r="X32" s="16">
        <f t="shared" si="11"/>
        <v>1050689</v>
      </c>
      <c r="Z32" s="17">
        <f t="shared" si="18"/>
        <v>1050689</v>
      </c>
      <c r="AA32" s="17">
        <f t="shared" si="19"/>
        <v>0</v>
      </c>
      <c r="AB32" s="18">
        <f t="shared" si="20"/>
        <v>1050689</v>
      </c>
    </row>
    <row r="33" spans="1:28" ht="15.75" customHeight="1" thickBot="1">
      <c r="A33" s="189" t="s">
        <v>48</v>
      </c>
      <c r="B33" s="184">
        <f t="shared" ref="B33:P33" si="21">SUM(B31:B32)</f>
        <v>0</v>
      </c>
      <c r="C33" s="184">
        <f t="shared" si="21"/>
        <v>0</v>
      </c>
      <c r="D33" s="184">
        <f t="shared" si="21"/>
        <v>0</v>
      </c>
      <c r="E33" s="184">
        <f t="shared" si="21"/>
        <v>0</v>
      </c>
      <c r="F33" s="184">
        <f t="shared" si="21"/>
        <v>0</v>
      </c>
      <c r="G33" s="184">
        <f t="shared" si="21"/>
        <v>0</v>
      </c>
      <c r="H33" s="184">
        <f t="shared" si="21"/>
        <v>0</v>
      </c>
      <c r="I33" s="184">
        <f t="shared" si="21"/>
        <v>0</v>
      </c>
      <c r="J33" s="184">
        <f t="shared" si="21"/>
        <v>0</v>
      </c>
      <c r="K33" s="184">
        <f t="shared" si="21"/>
        <v>0</v>
      </c>
      <c r="L33" s="184">
        <f t="shared" si="21"/>
        <v>0</v>
      </c>
      <c r="M33" s="185">
        <f t="shared" si="21"/>
        <v>57240</v>
      </c>
      <c r="N33" s="179">
        <f t="shared" si="21"/>
        <v>115260</v>
      </c>
      <c r="O33" s="186">
        <f t="shared" si="21"/>
        <v>0</v>
      </c>
      <c r="P33" s="190">
        <f t="shared" si="21"/>
        <v>0</v>
      </c>
      <c r="Q33" s="190">
        <f>SUM(Q31:Q32)</f>
        <v>345333</v>
      </c>
      <c r="R33" s="190">
        <f t="shared" ref="R33:W33" si="22">SUM(R31:R32)</f>
        <v>0</v>
      </c>
      <c r="S33" s="190">
        <f t="shared" si="22"/>
        <v>487754</v>
      </c>
      <c r="T33" s="190">
        <f t="shared" si="22"/>
        <v>487754</v>
      </c>
      <c r="U33" s="190">
        <f t="shared" si="22"/>
        <v>484499</v>
      </c>
      <c r="V33" s="191">
        <f t="shared" si="22"/>
        <v>13020</v>
      </c>
      <c r="W33" s="191">
        <f t="shared" si="22"/>
        <v>0</v>
      </c>
      <c r="X33" s="16">
        <f>SUM(X30:X32)</f>
        <v>1990860</v>
      </c>
      <c r="Z33" s="190">
        <f t="shared" ref="Z33:AB33" si="23">SUM(Z31:Z32)</f>
        <v>1990860</v>
      </c>
      <c r="AA33" s="190">
        <f t="shared" si="23"/>
        <v>0</v>
      </c>
      <c r="AB33" s="190">
        <f t="shared" si="23"/>
        <v>1990860</v>
      </c>
    </row>
    <row r="34" spans="1:28">
      <c r="A34" s="180" t="s">
        <v>49</v>
      </c>
      <c r="B34" s="47"/>
      <c r="C34" s="47"/>
      <c r="D34" s="47"/>
      <c r="E34" s="181"/>
      <c r="F34" s="106"/>
      <c r="G34" s="106"/>
      <c r="H34" s="106"/>
      <c r="I34" s="107"/>
      <c r="J34" s="107"/>
      <c r="K34" s="107"/>
      <c r="L34" s="107"/>
      <c r="M34" s="107"/>
      <c r="N34" s="192"/>
      <c r="O34" s="193"/>
      <c r="P34" s="193"/>
      <c r="Q34" s="193"/>
      <c r="R34" s="193"/>
      <c r="S34" s="193"/>
      <c r="T34" s="193"/>
      <c r="U34" s="192"/>
      <c r="V34" s="30"/>
      <c r="W34" s="31"/>
      <c r="X34" s="16">
        <f t="shared" si="11"/>
        <v>0</v>
      </c>
      <c r="Z34" s="17">
        <f t="shared" ref="Z34:Z37" si="24">SUM(B34:V34)</f>
        <v>0</v>
      </c>
      <c r="AA34" s="17">
        <f t="shared" ref="AA34:AA37" si="25">+W34</f>
        <v>0</v>
      </c>
      <c r="AB34" s="18">
        <f t="shared" ref="AB34:AB37" si="26">+Z34+AA34</f>
        <v>0</v>
      </c>
    </row>
    <row r="35" spans="1:28" ht="15" customHeight="1">
      <c r="A35" s="23" t="s">
        <v>43</v>
      </c>
      <c r="B35" s="42"/>
      <c r="C35" s="42"/>
      <c r="D35" s="42"/>
      <c r="E35" s="43"/>
      <c r="F35" s="28"/>
      <c r="G35" s="28"/>
      <c r="H35" s="28"/>
      <c r="I35" s="29"/>
      <c r="J35" s="28"/>
      <c r="K35" s="29"/>
      <c r="L35" s="29"/>
      <c r="M35" s="29">
        <f>42528</f>
        <v>42528</v>
      </c>
      <c r="N35" s="30"/>
      <c r="O35" s="31"/>
      <c r="P35" s="31"/>
      <c r="Q35" s="31">
        <f>49767*3</f>
        <v>149301</v>
      </c>
      <c r="R35" s="31"/>
      <c r="S35" s="31">
        <f>36496*6-57947</f>
        <v>161029</v>
      </c>
      <c r="T35" s="31">
        <v>161029</v>
      </c>
      <c r="U35" s="30">
        <f>35169*3</f>
        <v>105507</v>
      </c>
      <c r="V35" s="30"/>
      <c r="W35" s="31"/>
      <c r="X35" s="16">
        <f t="shared" si="11"/>
        <v>619394</v>
      </c>
      <c r="Z35" s="17">
        <f t="shared" si="24"/>
        <v>619394</v>
      </c>
      <c r="AA35" s="17">
        <f t="shared" si="25"/>
        <v>0</v>
      </c>
      <c r="AB35" s="18">
        <f t="shared" si="26"/>
        <v>619394</v>
      </c>
    </row>
    <row r="36" spans="1:28" ht="15" customHeight="1">
      <c r="A36" s="23" t="s">
        <v>44</v>
      </c>
      <c r="B36" s="42"/>
      <c r="C36" s="42"/>
      <c r="D36" s="42"/>
      <c r="E36" s="43"/>
      <c r="F36" s="28"/>
      <c r="G36" s="28"/>
      <c r="H36" s="28"/>
      <c r="I36" s="29"/>
      <c r="J36" s="28"/>
      <c r="K36" s="29"/>
      <c r="L36" s="29"/>
      <c r="M36" s="29">
        <f>42528</f>
        <v>42528</v>
      </c>
      <c r="N36" s="30">
        <v>42528</v>
      </c>
      <c r="O36" s="31"/>
      <c r="P36" s="31"/>
      <c r="Q36" s="31">
        <f>49767*2+14930</f>
        <v>114464</v>
      </c>
      <c r="R36" s="31"/>
      <c r="S36" s="31">
        <f>46449+38155</f>
        <v>84604</v>
      </c>
      <c r="T36" s="31">
        <v>84604</v>
      </c>
      <c r="U36" s="30">
        <f>21566+42202+5272+5275+17584+45719</f>
        <v>137618</v>
      </c>
      <c r="V36" s="30">
        <f>6610*12</f>
        <v>79320</v>
      </c>
      <c r="W36" s="31"/>
      <c r="X36" s="16">
        <f t="shared" si="11"/>
        <v>585666</v>
      </c>
      <c r="Z36" s="17">
        <f t="shared" si="24"/>
        <v>585666</v>
      </c>
      <c r="AA36" s="17">
        <f t="shared" si="25"/>
        <v>0</v>
      </c>
      <c r="AB36" s="18">
        <f t="shared" si="26"/>
        <v>585666</v>
      </c>
    </row>
    <row r="37" spans="1:28" ht="15.75" customHeight="1" thickBot="1">
      <c r="A37" s="37" t="s">
        <v>45</v>
      </c>
      <c r="B37" s="44"/>
      <c r="C37" s="44"/>
      <c r="D37" s="44"/>
      <c r="E37" s="45"/>
      <c r="F37" s="34"/>
      <c r="G37" s="34"/>
      <c r="H37" s="34"/>
      <c r="I37" s="35"/>
      <c r="J37" s="34"/>
      <c r="K37" s="35"/>
      <c r="L37" s="35"/>
      <c r="M37" s="29">
        <f>42528</f>
        <v>42528</v>
      </c>
      <c r="N37" s="40">
        <v>297696</v>
      </c>
      <c r="O37" s="39"/>
      <c r="P37" s="39"/>
      <c r="Q37" s="39">
        <f>49767*2+18248</f>
        <v>117782</v>
      </c>
      <c r="R37" s="39"/>
      <c r="S37" s="39">
        <f>49767*2</f>
        <v>99534</v>
      </c>
      <c r="T37" s="39">
        <v>99534</v>
      </c>
      <c r="U37" s="40">
        <f>52753*3</f>
        <v>158259</v>
      </c>
      <c r="V37" s="30"/>
      <c r="W37" s="31"/>
      <c r="X37" s="16">
        <f t="shared" si="11"/>
        <v>815333</v>
      </c>
      <c r="Z37" s="17">
        <f t="shared" si="24"/>
        <v>815333</v>
      </c>
      <c r="AA37" s="17">
        <f t="shared" si="25"/>
        <v>0</v>
      </c>
      <c r="AB37" s="18">
        <f t="shared" si="26"/>
        <v>815333</v>
      </c>
    </row>
    <row r="38" spans="1:28" ht="15.75" customHeight="1" thickBot="1">
      <c r="A38" s="194" t="s">
        <v>50</v>
      </c>
      <c r="B38" s="184">
        <f t="shared" ref="B38:U38" si="27">SUM(B35:B37)</f>
        <v>0</v>
      </c>
      <c r="C38" s="184">
        <f t="shared" si="27"/>
        <v>0</v>
      </c>
      <c r="D38" s="184">
        <f t="shared" si="27"/>
        <v>0</v>
      </c>
      <c r="E38" s="184">
        <f t="shared" si="27"/>
        <v>0</v>
      </c>
      <c r="F38" s="184">
        <f t="shared" si="27"/>
        <v>0</v>
      </c>
      <c r="G38" s="184">
        <f t="shared" si="27"/>
        <v>0</v>
      </c>
      <c r="H38" s="184">
        <f t="shared" si="27"/>
        <v>0</v>
      </c>
      <c r="I38" s="184">
        <f t="shared" si="27"/>
        <v>0</v>
      </c>
      <c r="J38" s="184">
        <f t="shared" si="27"/>
        <v>0</v>
      </c>
      <c r="K38" s="184">
        <f t="shared" si="27"/>
        <v>0</v>
      </c>
      <c r="L38" s="184">
        <f t="shared" si="27"/>
        <v>0</v>
      </c>
      <c r="M38" s="185">
        <f t="shared" si="27"/>
        <v>127584</v>
      </c>
      <c r="N38" s="179">
        <f t="shared" si="27"/>
        <v>340224</v>
      </c>
      <c r="O38" s="179">
        <f t="shared" si="27"/>
        <v>0</v>
      </c>
      <c r="P38" s="179">
        <f t="shared" si="27"/>
        <v>0</v>
      </c>
      <c r="Q38" s="179">
        <f t="shared" si="27"/>
        <v>381547</v>
      </c>
      <c r="R38" s="179">
        <f t="shared" si="27"/>
        <v>0</v>
      </c>
      <c r="S38" s="179">
        <f t="shared" si="27"/>
        <v>345167</v>
      </c>
      <c r="T38" s="179">
        <f t="shared" si="27"/>
        <v>345167</v>
      </c>
      <c r="U38" s="179">
        <f t="shared" si="27"/>
        <v>401384</v>
      </c>
      <c r="V38" s="179">
        <f>SUM(V35:V37)</f>
        <v>79320</v>
      </c>
      <c r="W38" s="179">
        <f>SUM(W35:W37)</f>
        <v>0</v>
      </c>
      <c r="X38" s="178">
        <f>SUM(X34:X37)</f>
        <v>2020393</v>
      </c>
      <c r="Y38" s="188">
        <f t="shared" ref="Y38:AB38" si="28">SUM(Y34:Y37)</f>
        <v>0</v>
      </c>
      <c r="Z38" s="179">
        <f t="shared" si="28"/>
        <v>2020393</v>
      </c>
      <c r="AA38" s="179">
        <f t="shared" si="28"/>
        <v>0</v>
      </c>
      <c r="AB38" s="179">
        <f t="shared" si="28"/>
        <v>2020393</v>
      </c>
    </row>
    <row r="39" spans="1:28" ht="15" customHeight="1">
      <c r="A39" s="171" t="s">
        <v>51</v>
      </c>
      <c r="B39" s="195">
        <f t="shared" ref="B39:V39" si="29">+B50+B62+B73</f>
        <v>0</v>
      </c>
      <c r="C39" s="195">
        <f t="shared" si="29"/>
        <v>3090895</v>
      </c>
      <c r="D39" s="195">
        <f t="shared" si="29"/>
        <v>0</v>
      </c>
      <c r="E39" s="195">
        <f t="shared" si="29"/>
        <v>0</v>
      </c>
      <c r="F39" s="195">
        <f t="shared" si="29"/>
        <v>0</v>
      </c>
      <c r="G39" s="195">
        <f t="shared" si="29"/>
        <v>0</v>
      </c>
      <c r="H39" s="195">
        <f t="shared" si="29"/>
        <v>1941704</v>
      </c>
      <c r="I39" s="195">
        <f t="shared" si="29"/>
        <v>4431864</v>
      </c>
      <c r="J39" s="195">
        <f t="shared" si="29"/>
        <v>2625027</v>
      </c>
      <c r="K39" s="195">
        <f t="shared" si="29"/>
        <v>5032380</v>
      </c>
      <c r="L39" s="195">
        <f t="shared" si="29"/>
        <v>7414485</v>
      </c>
      <c r="M39" s="195">
        <f t="shared" si="29"/>
        <v>0</v>
      </c>
      <c r="N39" s="195">
        <f t="shared" si="29"/>
        <v>0</v>
      </c>
      <c r="O39" s="195">
        <f t="shared" si="29"/>
        <v>0</v>
      </c>
      <c r="P39" s="195">
        <f t="shared" si="29"/>
        <v>11994464</v>
      </c>
      <c r="Q39" s="195">
        <f t="shared" si="29"/>
        <v>27919368</v>
      </c>
      <c r="R39" s="195">
        <f t="shared" si="29"/>
        <v>32852542.768854797</v>
      </c>
      <c r="S39" s="195">
        <f t="shared" si="29"/>
        <v>23102173.067237522</v>
      </c>
      <c r="T39" s="195">
        <f t="shared" si="29"/>
        <v>26267884.547054403</v>
      </c>
      <c r="U39" s="195">
        <f t="shared" si="29"/>
        <v>20094571</v>
      </c>
      <c r="V39" s="196">
        <f t="shared" si="29"/>
        <v>7330380.7214584565</v>
      </c>
      <c r="W39" s="196">
        <f>+W50+W62+W73</f>
        <v>0</v>
      </c>
      <c r="X39" s="197">
        <f>+X50+X62+X73</f>
        <v>200366300.58625707</v>
      </c>
      <c r="Y39" s="198">
        <f t="shared" ref="Y39:AB39" si="30">+Y50+Y62+Y73</f>
        <v>3233152559.8843069</v>
      </c>
      <c r="Z39" s="196">
        <f t="shared" si="30"/>
        <v>194376861.44576141</v>
      </c>
      <c r="AA39" s="196">
        <f t="shared" si="30"/>
        <v>145496</v>
      </c>
      <c r="AB39" s="196">
        <f t="shared" si="30"/>
        <v>194522357.44576141</v>
      </c>
    </row>
    <row r="40" spans="1:28">
      <c r="A40" s="180" t="s">
        <v>52</v>
      </c>
      <c r="B40" s="105"/>
      <c r="C40" s="105"/>
      <c r="D40" s="105"/>
      <c r="E40" s="106"/>
      <c r="F40" s="106"/>
      <c r="G40" s="106"/>
      <c r="H40" s="106"/>
      <c r="I40" s="107"/>
      <c r="J40" s="107"/>
      <c r="K40" s="107"/>
      <c r="L40" s="107"/>
      <c r="M40" s="107"/>
      <c r="N40" s="30"/>
      <c r="O40" s="31"/>
      <c r="P40" s="31"/>
      <c r="Q40" s="31"/>
      <c r="R40" s="31"/>
      <c r="S40" s="31"/>
      <c r="T40" s="31"/>
      <c r="U40" s="30"/>
      <c r="V40" s="30"/>
      <c r="W40" s="31"/>
      <c r="X40" s="199"/>
      <c r="Z40" s="17">
        <f t="shared" ref="Z40:Z49" si="31">SUM(B40:V40)</f>
        <v>0</v>
      </c>
      <c r="AA40" s="17">
        <f t="shared" ref="AA40:AA49" si="32">+W40</f>
        <v>0</v>
      </c>
      <c r="AB40" s="18">
        <f t="shared" ref="AB40:AB49" si="33">+Z40+AA40</f>
        <v>0</v>
      </c>
    </row>
    <row r="41" spans="1:28" ht="15" customHeight="1">
      <c r="A41" s="23" t="s">
        <v>53</v>
      </c>
      <c r="B41" s="27"/>
      <c r="C41" s="27"/>
      <c r="D41" s="27"/>
      <c r="E41" s="28"/>
      <c r="F41" s="28"/>
      <c r="G41" s="28"/>
      <c r="H41" s="28"/>
      <c r="I41" s="29"/>
      <c r="J41" s="29"/>
      <c r="K41" s="29"/>
      <c r="L41" s="29"/>
      <c r="M41" s="29"/>
      <c r="N41" s="30">
        <f>3226229-3226229</f>
        <v>0</v>
      </c>
      <c r="O41" s="31"/>
      <c r="P41" s="31">
        <f>3490815-3490815</f>
        <v>0</v>
      </c>
      <c r="Q41" s="31"/>
      <c r="R41" s="31">
        <v>3923112.972076125</v>
      </c>
      <c r="S41" s="31">
        <v>4144546.6119629499</v>
      </c>
      <c r="T41" s="31"/>
      <c r="U41" s="30"/>
      <c r="V41" s="30"/>
      <c r="W41" s="31"/>
      <c r="X41" s="16">
        <f>SUM(B41:W41)</f>
        <v>8067659.5840390753</v>
      </c>
      <c r="Z41" s="17">
        <f t="shared" si="31"/>
        <v>8067659.5840390753</v>
      </c>
      <c r="AA41" s="17">
        <f t="shared" si="32"/>
        <v>0</v>
      </c>
      <c r="AB41" s="18">
        <f t="shared" si="33"/>
        <v>8067659.5840390753</v>
      </c>
    </row>
    <row r="42" spans="1:28" ht="15" customHeight="1">
      <c r="A42" s="23" t="s">
        <v>43</v>
      </c>
      <c r="B42" s="27"/>
      <c r="C42" s="27">
        <v>1785899</v>
      </c>
      <c r="D42" s="27"/>
      <c r="E42" s="28"/>
      <c r="F42" s="28"/>
      <c r="G42" s="28"/>
      <c r="H42" s="28"/>
      <c r="I42" s="29">
        <v>2464813</v>
      </c>
      <c r="J42" s="29">
        <v>2625027</v>
      </c>
      <c r="K42" s="29">
        <v>2826366</v>
      </c>
      <c r="L42" s="29">
        <f>3235417-211805</f>
        <v>3023612</v>
      </c>
      <c r="M42" s="29"/>
      <c r="N42" s="30">
        <v>0</v>
      </c>
      <c r="O42" s="31">
        <v>0</v>
      </c>
      <c r="P42" s="31">
        <v>3609037</v>
      </c>
      <c r="Q42" s="31">
        <v>3775094</v>
      </c>
      <c r="R42" s="31">
        <v>3885559.3531635799</v>
      </c>
      <c r="S42" s="31">
        <v>3984859.5167964152</v>
      </c>
      <c r="T42" s="31">
        <v>4178076.2382137342</v>
      </c>
      <c r="U42" s="30">
        <v>3680449</v>
      </c>
      <c r="V42" s="30">
        <v>3218982</v>
      </c>
      <c r="W42" s="31"/>
      <c r="X42" s="16">
        <f t="shared" ref="X42:X49" si="34">SUM(B42:W42)</f>
        <v>39057774.108173728</v>
      </c>
      <c r="Z42" s="17">
        <f t="shared" si="31"/>
        <v>39057774.108173728</v>
      </c>
      <c r="AA42" s="17">
        <f t="shared" si="32"/>
        <v>0</v>
      </c>
      <c r="AB42" s="18">
        <f t="shared" si="33"/>
        <v>39057774.108173728</v>
      </c>
    </row>
    <row r="43" spans="1:28" ht="15" customHeight="1">
      <c r="A43" s="23" t="s">
        <v>44</v>
      </c>
      <c r="B43" s="27"/>
      <c r="C43" s="27">
        <v>1304996</v>
      </c>
      <c r="D43" s="27"/>
      <c r="E43" s="28"/>
      <c r="F43" s="28"/>
      <c r="G43" s="28"/>
      <c r="H43" s="28">
        <v>1941704</v>
      </c>
      <c r="I43" s="28">
        <v>0</v>
      </c>
      <c r="J43" s="29">
        <f>2149515-2149515</f>
        <v>0</v>
      </c>
      <c r="K43" s="29">
        <v>2206014</v>
      </c>
      <c r="L43" s="29">
        <v>2110616</v>
      </c>
      <c r="M43" s="29"/>
      <c r="N43" s="30">
        <v>0</v>
      </c>
      <c r="O43" s="31">
        <v>0</v>
      </c>
      <c r="P43" s="31">
        <v>2754217</v>
      </c>
      <c r="Q43" s="31">
        <v>3016350</v>
      </c>
      <c r="R43" s="31">
        <v>3193702.3553353539</v>
      </c>
      <c r="S43" s="31">
        <v>3006402.1199042131</v>
      </c>
      <c r="T43" s="31">
        <v>3112582.524281376</v>
      </c>
      <c r="U43" s="30">
        <v>2051080</v>
      </c>
      <c r="V43" s="30">
        <v>113512.40208027455</v>
      </c>
      <c r="W43" s="31"/>
      <c r="X43" s="16">
        <f t="shared" si="34"/>
        <v>24811176.401601218</v>
      </c>
      <c r="Z43" s="17">
        <f t="shared" si="31"/>
        <v>24811176.401601218</v>
      </c>
      <c r="AA43" s="17">
        <f t="shared" si="32"/>
        <v>0</v>
      </c>
      <c r="AB43" s="18">
        <f t="shared" si="33"/>
        <v>24811176.401601218</v>
      </c>
    </row>
    <row r="44" spans="1:28" ht="15" customHeight="1">
      <c r="A44" s="23" t="s">
        <v>45</v>
      </c>
      <c r="B44" s="27"/>
      <c r="C44" s="27"/>
      <c r="D44" s="27"/>
      <c r="E44" s="28"/>
      <c r="F44" s="28"/>
      <c r="G44" s="28"/>
      <c r="H44" s="28">
        <v>0</v>
      </c>
      <c r="I44" s="28">
        <f>1968051-1000</f>
        <v>1967051</v>
      </c>
      <c r="J44" s="29">
        <v>0</v>
      </c>
      <c r="K44" s="29"/>
      <c r="L44" s="29">
        <v>2280257</v>
      </c>
      <c r="M44" s="29"/>
      <c r="N44" s="30">
        <v>0</v>
      </c>
      <c r="O44" s="31">
        <v>0</v>
      </c>
      <c r="P44" s="31">
        <v>2770279</v>
      </c>
      <c r="Q44" s="31">
        <v>3016350</v>
      </c>
      <c r="R44" s="31">
        <v>3212330.8904513889</v>
      </c>
      <c r="S44" s="31">
        <v>3234908.9031449179</v>
      </c>
      <c r="T44" s="31">
        <v>3361658.6450376152</v>
      </c>
      <c r="U44" s="30">
        <v>3767706</v>
      </c>
      <c r="V44" s="30">
        <v>3837312</v>
      </c>
      <c r="W44" s="31"/>
      <c r="X44" s="16">
        <f t="shared" si="34"/>
        <v>27447853.438633922</v>
      </c>
      <c r="Z44" s="17">
        <f t="shared" si="31"/>
        <v>27447853.438633922</v>
      </c>
      <c r="AA44" s="17">
        <f t="shared" si="32"/>
        <v>0</v>
      </c>
      <c r="AB44" s="18">
        <f t="shared" si="33"/>
        <v>27447853.438633922</v>
      </c>
    </row>
    <row r="45" spans="1:28" ht="15" customHeight="1">
      <c r="A45" s="7" t="s">
        <v>54</v>
      </c>
      <c r="B45" s="27"/>
      <c r="C45" s="27"/>
      <c r="D45" s="27"/>
      <c r="E45" s="28"/>
      <c r="F45" s="28"/>
      <c r="G45" s="28"/>
      <c r="H45" s="28"/>
      <c r="I45" s="29"/>
      <c r="J45" s="29"/>
      <c r="K45" s="29"/>
      <c r="L45" s="29"/>
      <c r="M45" s="29"/>
      <c r="N45" s="30"/>
      <c r="O45" s="31"/>
      <c r="P45" s="31"/>
      <c r="Q45" s="31"/>
      <c r="R45" s="31">
        <v>3480712</v>
      </c>
      <c r="S45" s="31">
        <v>2860157</v>
      </c>
      <c r="T45" s="31">
        <v>3028906</v>
      </c>
      <c r="U45" s="30">
        <v>3144660</v>
      </c>
      <c r="V45" s="30"/>
      <c r="W45" s="31"/>
      <c r="X45" s="16">
        <f t="shared" si="34"/>
        <v>12514435</v>
      </c>
      <c r="Z45" s="17">
        <f t="shared" si="31"/>
        <v>12514435</v>
      </c>
      <c r="AA45" s="17">
        <f t="shared" si="32"/>
        <v>0</v>
      </c>
      <c r="AB45" s="18">
        <f t="shared" si="33"/>
        <v>12514435</v>
      </c>
    </row>
    <row r="46" spans="1:28" ht="15" customHeight="1">
      <c r="A46" s="23" t="s">
        <v>35</v>
      </c>
      <c r="B46" s="17"/>
      <c r="C46" s="17"/>
      <c r="D46" s="17"/>
      <c r="E46" s="31"/>
      <c r="F46" s="31"/>
      <c r="G46" s="31"/>
      <c r="H46" s="31"/>
      <c r="I46" s="31"/>
      <c r="J46" s="31"/>
      <c r="K46" s="31"/>
      <c r="L46" s="31"/>
      <c r="M46" s="31"/>
      <c r="N46" s="30"/>
      <c r="O46" s="31"/>
      <c r="P46" s="31"/>
      <c r="Q46" s="31"/>
      <c r="R46" s="14">
        <v>4811480</v>
      </c>
      <c r="S46" s="14"/>
      <c r="T46" s="14"/>
      <c r="U46" s="15"/>
      <c r="V46" s="15"/>
      <c r="W46" s="14"/>
      <c r="X46" s="16">
        <f t="shared" si="34"/>
        <v>4811480</v>
      </c>
      <c r="Z46" s="17">
        <f t="shared" si="31"/>
        <v>4811480</v>
      </c>
      <c r="AA46" s="17">
        <f t="shared" si="32"/>
        <v>0</v>
      </c>
      <c r="AB46" s="18">
        <f t="shared" si="33"/>
        <v>4811480</v>
      </c>
    </row>
    <row r="47" spans="1:28" ht="15" customHeight="1">
      <c r="A47" s="7" t="s">
        <v>55</v>
      </c>
      <c r="B47" s="27"/>
      <c r="C47" s="27"/>
      <c r="D47" s="27"/>
      <c r="E47" s="28"/>
      <c r="F47" s="28"/>
      <c r="G47" s="28"/>
      <c r="H47" s="28"/>
      <c r="I47" s="29"/>
      <c r="J47" s="29"/>
      <c r="K47" s="29"/>
      <c r="L47" s="29"/>
      <c r="M47" s="29"/>
      <c r="N47" s="30"/>
      <c r="O47" s="31"/>
      <c r="P47" s="31"/>
      <c r="Q47" s="31"/>
      <c r="R47" s="31"/>
      <c r="S47" s="31"/>
      <c r="T47" s="31">
        <v>2274553</v>
      </c>
      <c r="U47" s="30"/>
      <c r="V47" s="30"/>
      <c r="W47" s="31"/>
      <c r="X47" s="16">
        <f t="shared" si="34"/>
        <v>2274553</v>
      </c>
      <c r="Z47" s="17">
        <f t="shared" si="31"/>
        <v>2274553</v>
      </c>
      <c r="AA47" s="17">
        <f t="shared" si="32"/>
        <v>0</v>
      </c>
      <c r="AB47" s="18">
        <f t="shared" si="33"/>
        <v>2274553</v>
      </c>
    </row>
    <row r="48" spans="1:28" ht="15" customHeight="1">
      <c r="A48" s="7" t="s">
        <v>56</v>
      </c>
      <c r="B48" s="27"/>
      <c r="C48" s="27"/>
      <c r="D48" s="27"/>
      <c r="E48" s="28"/>
      <c r="F48" s="28"/>
      <c r="G48" s="28"/>
      <c r="H48" s="28"/>
      <c r="I48" s="29"/>
      <c r="J48" s="29"/>
      <c r="K48" s="29"/>
      <c r="L48" s="29"/>
      <c r="M48" s="29"/>
      <c r="N48" s="30"/>
      <c r="O48" s="31"/>
      <c r="P48" s="31">
        <f>2860931</f>
        <v>2860931</v>
      </c>
      <c r="Q48" s="31">
        <f>2992798+1876619</f>
        <v>4869417</v>
      </c>
      <c r="R48" s="31"/>
      <c r="S48" s="31"/>
      <c r="T48" s="31">
        <v>0</v>
      </c>
      <c r="U48" s="30"/>
      <c r="V48" s="30"/>
      <c r="W48" s="31"/>
      <c r="X48" s="16">
        <f t="shared" si="34"/>
        <v>7730348</v>
      </c>
      <c r="Z48" s="17">
        <f t="shared" si="31"/>
        <v>7730348</v>
      </c>
      <c r="AA48" s="17">
        <f t="shared" si="32"/>
        <v>0</v>
      </c>
      <c r="AB48" s="18">
        <f t="shared" si="33"/>
        <v>7730348</v>
      </c>
    </row>
    <row r="49" spans="1:28" ht="15.75" customHeight="1" thickBot="1">
      <c r="A49" s="37" t="s">
        <v>57</v>
      </c>
      <c r="B49" s="33"/>
      <c r="C49" s="33"/>
      <c r="D49" s="33"/>
      <c r="E49" s="34"/>
      <c r="F49" s="34"/>
      <c r="G49" s="34"/>
      <c r="H49" s="34">
        <v>0</v>
      </c>
      <c r="I49" s="34">
        <v>0</v>
      </c>
      <c r="J49" s="35">
        <v>0</v>
      </c>
      <c r="K49" s="35">
        <v>0</v>
      </c>
      <c r="L49" s="35"/>
      <c r="M49" s="35"/>
      <c r="N49" s="40"/>
      <c r="O49" s="39"/>
      <c r="P49" s="39"/>
      <c r="Q49" s="39">
        <f>3792419-3792419</f>
        <v>0</v>
      </c>
      <c r="R49" s="39">
        <v>1753120</v>
      </c>
      <c r="S49" s="39"/>
      <c r="T49" s="39"/>
      <c r="U49" s="40"/>
      <c r="V49" s="30"/>
      <c r="W49" s="31"/>
      <c r="X49" s="16">
        <f t="shared" si="34"/>
        <v>1753120</v>
      </c>
      <c r="Z49" s="17">
        <f t="shared" si="31"/>
        <v>1753120</v>
      </c>
      <c r="AA49" s="17">
        <f t="shared" si="32"/>
        <v>0</v>
      </c>
      <c r="AB49" s="18">
        <f t="shared" si="33"/>
        <v>1753120</v>
      </c>
    </row>
    <row r="50" spans="1:28" ht="15.75" customHeight="1" thickBot="1">
      <c r="A50" s="189" t="s">
        <v>58</v>
      </c>
      <c r="B50" s="184">
        <f t="shared" ref="B50:W50" si="35">SUM(B42:B49)</f>
        <v>0</v>
      </c>
      <c r="C50" s="184">
        <f t="shared" si="35"/>
        <v>3090895</v>
      </c>
      <c r="D50" s="184">
        <f t="shared" si="35"/>
        <v>0</v>
      </c>
      <c r="E50" s="184">
        <f t="shared" si="35"/>
        <v>0</v>
      </c>
      <c r="F50" s="184">
        <f t="shared" si="35"/>
        <v>0</v>
      </c>
      <c r="G50" s="184">
        <f t="shared" si="35"/>
        <v>0</v>
      </c>
      <c r="H50" s="184">
        <f t="shared" si="35"/>
        <v>1941704</v>
      </c>
      <c r="I50" s="184">
        <f t="shared" si="35"/>
        <v>4431864</v>
      </c>
      <c r="J50" s="184">
        <f t="shared" si="35"/>
        <v>2625027</v>
      </c>
      <c r="K50" s="184">
        <f t="shared" si="35"/>
        <v>5032380</v>
      </c>
      <c r="L50" s="184">
        <f t="shared" si="35"/>
        <v>7414485</v>
      </c>
      <c r="M50" s="185">
        <f t="shared" si="35"/>
        <v>0</v>
      </c>
      <c r="N50" s="179">
        <f t="shared" si="35"/>
        <v>0</v>
      </c>
      <c r="O50" s="186">
        <f t="shared" si="35"/>
        <v>0</v>
      </c>
      <c r="P50" s="190">
        <f t="shared" si="35"/>
        <v>11994464</v>
      </c>
      <c r="Q50" s="190">
        <f t="shared" si="35"/>
        <v>14677211</v>
      </c>
      <c r="R50" s="190">
        <f t="shared" si="35"/>
        <v>20336904.598950323</v>
      </c>
      <c r="S50" s="190">
        <f t="shared" si="35"/>
        <v>13086327.539845547</v>
      </c>
      <c r="T50" s="190">
        <f t="shared" si="35"/>
        <v>15955776.407532725</v>
      </c>
      <c r="U50" s="190">
        <f t="shared" si="35"/>
        <v>12643895</v>
      </c>
      <c r="V50" s="191">
        <f t="shared" si="35"/>
        <v>7169806.4020802751</v>
      </c>
      <c r="W50" s="191">
        <f t="shared" si="35"/>
        <v>0</v>
      </c>
      <c r="X50" s="200">
        <f>SUM(X41:X49)</f>
        <v>128468399.53244793</v>
      </c>
      <c r="Z50" s="190">
        <f>SUM(Z41:Z49)</f>
        <v>128468399.53244793</v>
      </c>
      <c r="AA50" s="190">
        <f>SUM(AA41:AA49)</f>
        <v>0</v>
      </c>
      <c r="AB50" s="190">
        <f>SUM(AB41:AB49)</f>
        <v>128468399.53244793</v>
      </c>
    </row>
    <row r="51" spans="1:28">
      <c r="A51" s="180" t="s">
        <v>59</v>
      </c>
      <c r="B51" s="47"/>
      <c r="C51" s="47"/>
      <c r="D51" s="47"/>
      <c r="E51" s="47"/>
      <c r="F51" s="47"/>
      <c r="G51" s="47"/>
      <c r="H51" s="47"/>
      <c r="I51" s="48"/>
      <c r="J51" s="48"/>
      <c r="K51" s="48"/>
      <c r="L51" s="48"/>
      <c r="M51" s="48"/>
      <c r="N51" s="49"/>
      <c r="O51" s="201"/>
      <c r="P51" s="201"/>
      <c r="Q51" s="201"/>
      <c r="R51" s="201"/>
      <c r="S51" s="201"/>
      <c r="T51" s="201"/>
      <c r="U51" s="49"/>
      <c r="V51" s="50"/>
      <c r="W51" s="41"/>
      <c r="X51" s="16">
        <f t="shared" si="11"/>
        <v>0</v>
      </c>
      <c r="Z51" s="17">
        <f t="shared" ref="Z51:Z61" si="36">SUM(B51:V51)</f>
        <v>0</v>
      </c>
      <c r="AA51" s="17">
        <f t="shared" ref="AA51:AA61" si="37">+W51</f>
        <v>0</v>
      </c>
      <c r="AB51" s="18">
        <f t="shared" ref="AB51:AB61" si="38">+Z51+AA51</f>
        <v>0</v>
      </c>
    </row>
    <row r="52" spans="1:28" ht="15" customHeight="1">
      <c r="A52" s="46" t="s">
        <v>60</v>
      </c>
      <c r="B52" s="47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1"/>
      <c r="P52" s="41"/>
      <c r="Q52" s="41"/>
      <c r="R52" s="41">
        <v>2279843</v>
      </c>
      <c r="S52" s="41">
        <v>2368879</v>
      </c>
      <c r="T52" s="41">
        <v>721691</v>
      </c>
      <c r="U52" s="50"/>
      <c r="V52" s="50"/>
      <c r="W52" s="41"/>
      <c r="X52" s="16">
        <f t="shared" si="11"/>
        <v>5370413</v>
      </c>
      <c r="Y52" s="1">
        <f>SUBTOTAL(9,X16:X52)</f>
        <v>675841736.65115297</v>
      </c>
      <c r="Z52" s="17">
        <f t="shared" si="36"/>
        <v>5370413</v>
      </c>
      <c r="AA52" s="17">
        <f t="shared" si="37"/>
        <v>0</v>
      </c>
      <c r="AB52" s="18">
        <f t="shared" si="38"/>
        <v>5370413</v>
      </c>
    </row>
    <row r="53" spans="1:28" ht="24" customHeight="1">
      <c r="A53" s="46" t="s">
        <v>61</v>
      </c>
      <c r="B53" s="47"/>
      <c r="C53" s="47"/>
      <c r="D53" s="47"/>
      <c r="E53" s="47"/>
      <c r="F53" s="47"/>
      <c r="G53" s="47"/>
      <c r="H53" s="47"/>
      <c r="I53" s="48"/>
      <c r="J53" s="48"/>
      <c r="K53" s="48"/>
      <c r="L53" s="48"/>
      <c r="M53" s="48"/>
      <c r="N53" s="49"/>
      <c r="O53" s="41"/>
      <c r="P53" s="41"/>
      <c r="Q53" s="41">
        <f>2279843</f>
        <v>2279843</v>
      </c>
      <c r="R53" s="41">
        <f>1953916.37339351+170368</f>
        <v>2124284.37339351</v>
      </c>
      <c r="S53" s="41">
        <v>2284526.1840597861</v>
      </c>
      <c r="T53" s="41">
        <v>1607623.5245600783</v>
      </c>
      <c r="U53" s="50">
        <v>1702008</v>
      </c>
      <c r="V53" s="50"/>
      <c r="W53" s="41"/>
      <c r="X53" s="16">
        <f t="shared" si="11"/>
        <v>9998285.0820133723</v>
      </c>
      <c r="Z53" s="17">
        <f t="shared" si="36"/>
        <v>9998285.0820133723</v>
      </c>
      <c r="AA53" s="17">
        <f t="shared" si="37"/>
        <v>0</v>
      </c>
      <c r="AB53" s="18">
        <f t="shared" si="38"/>
        <v>9998285.0820133723</v>
      </c>
    </row>
    <row r="54" spans="1:28" ht="24" customHeight="1">
      <c r="A54" s="46" t="s">
        <v>62</v>
      </c>
      <c r="B54" s="47"/>
      <c r="C54" s="47"/>
      <c r="D54" s="47"/>
      <c r="E54" s="47"/>
      <c r="F54" s="47"/>
      <c r="G54" s="47"/>
      <c r="H54" s="47"/>
      <c r="I54" s="48"/>
      <c r="J54" s="48"/>
      <c r="K54" s="48"/>
      <c r="L54" s="48"/>
      <c r="M54" s="48"/>
      <c r="N54" s="49"/>
      <c r="O54" s="41"/>
      <c r="P54" s="41"/>
      <c r="Q54" s="41">
        <v>1733054</v>
      </c>
      <c r="R54" s="41">
        <f>1652967</f>
        <v>1652967</v>
      </c>
      <c r="S54" s="41">
        <f>1772122.47287882-27285</f>
        <v>1744837.47287882</v>
      </c>
      <c r="T54" s="41">
        <v>1630687.0883894556</v>
      </c>
      <c r="U54" s="50">
        <v>1264126</v>
      </c>
      <c r="V54" s="50">
        <v>160574.31937818136</v>
      </c>
      <c r="W54" s="41"/>
      <c r="X54" s="16">
        <f t="shared" si="11"/>
        <v>8186245.880646457</v>
      </c>
      <c r="Z54" s="17">
        <f t="shared" si="36"/>
        <v>8186245.880646457</v>
      </c>
      <c r="AA54" s="17">
        <f t="shared" si="37"/>
        <v>0</v>
      </c>
      <c r="AB54" s="18">
        <f t="shared" si="38"/>
        <v>8186245.880646457</v>
      </c>
    </row>
    <row r="55" spans="1:28" ht="24" customHeight="1">
      <c r="A55" s="7" t="s">
        <v>63</v>
      </c>
      <c r="B55" s="27"/>
      <c r="C55" s="27"/>
      <c r="D55" s="27"/>
      <c r="E55" s="28"/>
      <c r="F55" s="28"/>
      <c r="G55" s="28"/>
      <c r="H55" s="28"/>
      <c r="I55" s="29">
        <v>0</v>
      </c>
      <c r="J55" s="29"/>
      <c r="K55" s="29"/>
      <c r="L55" s="29"/>
      <c r="M55" s="29"/>
      <c r="N55" s="30"/>
      <c r="O55" s="39"/>
      <c r="P55" s="39"/>
      <c r="Q55" s="39">
        <v>1743300</v>
      </c>
      <c r="R55" s="39">
        <v>1667665.7965109644</v>
      </c>
      <c r="S55" s="39">
        <v>1780774.6667343245</v>
      </c>
      <c r="T55" s="51">
        <v>1877345.589795525</v>
      </c>
      <c r="U55" s="52">
        <v>2422628</v>
      </c>
      <c r="V55" s="50"/>
      <c r="W55" s="41"/>
      <c r="X55" s="16">
        <f t="shared" si="11"/>
        <v>9491714.0530408137</v>
      </c>
      <c r="Z55" s="17">
        <f t="shared" si="36"/>
        <v>9491714.0530408137</v>
      </c>
      <c r="AA55" s="17">
        <f t="shared" si="37"/>
        <v>0</v>
      </c>
      <c r="AB55" s="18">
        <f t="shared" si="38"/>
        <v>9491714.0530408137</v>
      </c>
    </row>
    <row r="56" spans="1:28" ht="15" customHeight="1">
      <c r="A56" s="19" t="s">
        <v>64</v>
      </c>
      <c r="B56" s="47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  <c r="N56" s="49"/>
      <c r="O56" s="41"/>
      <c r="P56" s="41"/>
      <c r="Q56" s="41">
        <v>1798240</v>
      </c>
      <c r="R56" s="17"/>
      <c r="S56" s="17"/>
      <c r="T56" s="41"/>
      <c r="U56" s="50"/>
      <c r="V56" s="50"/>
      <c r="W56" s="41"/>
      <c r="X56" s="16">
        <f t="shared" si="11"/>
        <v>1798240</v>
      </c>
      <c r="Z56" s="17">
        <f t="shared" si="36"/>
        <v>1798240</v>
      </c>
      <c r="AA56" s="17">
        <f t="shared" si="37"/>
        <v>0</v>
      </c>
      <c r="AB56" s="18">
        <f t="shared" si="38"/>
        <v>1798240</v>
      </c>
    </row>
    <row r="57" spans="1:28" ht="15" customHeight="1">
      <c r="A57" s="81" t="s">
        <v>65</v>
      </c>
      <c r="B57" s="202"/>
      <c r="C57" s="47"/>
      <c r="D57" s="47"/>
      <c r="E57" s="47"/>
      <c r="F57" s="47"/>
      <c r="G57" s="47"/>
      <c r="H57" s="47"/>
      <c r="I57" s="48"/>
      <c r="J57" s="48"/>
      <c r="K57" s="48"/>
      <c r="L57" s="48"/>
      <c r="M57" s="48"/>
      <c r="N57" s="49"/>
      <c r="O57" s="41"/>
      <c r="P57" s="41"/>
      <c r="Q57" s="41"/>
      <c r="R57" s="17"/>
      <c r="S57" s="17">
        <v>1836828.2037190443</v>
      </c>
      <c r="T57" s="41">
        <v>1945200.9367766206</v>
      </c>
      <c r="U57" s="50">
        <v>2061914</v>
      </c>
      <c r="V57" s="50"/>
      <c r="W57" s="41"/>
      <c r="X57" s="16">
        <f t="shared" si="11"/>
        <v>5843943.1404956654</v>
      </c>
      <c r="Z57" s="17"/>
      <c r="AA57" s="17"/>
      <c r="AB57" s="18"/>
    </row>
    <row r="58" spans="1:28" ht="15" customHeight="1">
      <c r="A58" s="46" t="s">
        <v>66</v>
      </c>
      <c r="B58" s="47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1"/>
      <c r="P58" s="41"/>
      <c r="Q58" s="41"/>
      <c r="R58" s="17">
        <v>1920431</v>
      </c>
      <c r="S58" s="17"/>
      <c r="T58" s="41">
        <v>0</v>
      </c>
      <c r="U58" s="50"/>
      <c r="V58" s="50"/>
      <c r="W58" s="41"/>
      <c r="X58" s="16">
        <f t="shared" si="11"/>
        <v>1920431</v>
      </c>
      <c r="Z58" s="17">
        <f t="shared" si="36"/>
        <v>1920431</v>
      </c>
      <c r="AA58" s="17">
        <f t="shared" si="37"/>
        <v>0</v>
      </c>
      <c r="AB58" s="18">
        <f t="shared" si="38"/>
        <v>1920431</v>
      </c>
    </row>
    <row r="59" spans="1:28" ht="15" customHeight="1">
      <c r="A59" s="46" t="s">
        <v>67</v>
      </c>
      <c r="B59" s="47"/>
      <c r="C59" s="47"/>
      <c r="D59" s="47"/>
      <c r="E59" s="47"/>
      <c r="F59" s="47"/>
      <c r="G59" s="47"/>
      <c r="H59" s="47"/>
      <c r="I59" s="48"/>
      <c r="J59" s="48"/>
      <c r="K59" s="48"/>
      <c r="L59" s="48"/>
      <c r="M59" s="48"/>
      <c r="N59" s="49"/>
      <c r="O59" s="41"/>
      <c r="P59" s="41"/>
      <c r="Q59" s="41">
        <f>2113425+638756</f>
        <v>2752181</v>
      </c>
      <c r="R59" s="17">
        <v>638756</v>
      </c>
      <c r="S59" s="17"/>
      <c r="T59" s="41">
        <v>0</v>
      </c>
      <c r="U59" s="50"/>
      <c r="V59" s="50"/>
      <c r="W59" s="41"/>
      <c r="X59" s="16">
        <f t="shared" si="11"/>
        <v>3390937</v>
      </c>
      <c r="Z59" s="17">
        <f t="shared" si="36"/>
        <v>3390937</v>
      </c>
      <c r="AA59" s="17">
        <f t="shared" si="37"/>
        <v>0</v>
      </c>
      <c r="AB59" s="18">
        <f t="shared" si="38"/>
        <v>3390937</v>
      </c>
    </row>
    <row r="60" spans="1:28" ht="15" customHeight="1">
      <c r="A60" s="46" t="s">
        <v>55</v>
      </c>
      <c r="B60" s="47"/>
      <c r="C60" s="47"/>
      <c r="D60" s="47"/>
      <c r="E60" s="47"/>
      <c r="F60" s="47"/>
      <c r="G60" s="47"/>
      <c r="H60" s="47"/>
      <c r="I60" s="48"/>
      <c r="J60" s="48"/>
      <c r="K60" s="48"/>
      <c r="L60" s="48"/>
      <c r="M60" s="48"/>
      <c r="N60" s="49"/>
      <c r="O60" s="41"/>
      <c r="P60" s="41"/>
      <c r="Q60" s="41"/>
      <c r="R60" s="17"/>
      <c r="S60" s="17"/>
      <c r="T60" s="41">
        <v>1721232</v>
      </c>
      <c r="U60" s="50"/>
      <c r="V60" s="50"/>
      <c r="W60" s="41"/>
      <c r="X60" s="16">
        <f t="shared" si="11"/>
        <v>1721232</v>
      </c>
      <c r="Z60" s="17">
        <f t="shared" si="36"/>
        <v>1721232</v>
      </c>
      <c r="AA60" s="17">
        <f t="shared" si="37"/>
        <v>0</v>
      </c>
      <c r="AB60" s="18">
        <f t="shared" si="38"/>
        <v>1721232</v>
      </c>
    </row>
    <row r="61" spans="1:28" ht="15.75" customHeight="1" thickBot="1">
      <c r="A61" s="46" t="s">
        <v>68</v>
      </c>
      <c r="B61" s="47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  <c r="N61" s="49"/>
      <c r="O61" s="41"/>
      <c r="P61" s="41"/>
      <c r="Q61" s="41">
        <f>2339140-1207581</f>
        <v>1131559</v>
      </c>
      <c r="R61" s="17">
        <v>1153162</v>
      </c>
      <c r="S61" s="17"/>
      <c r="T61" s="41"/>
      <c r="U61" s="50"/>
      <c r="V61" s="50"/>
      <c r="W61" s="41"/>
      <c r="X61" s="16">
        <f t="shared" si="11"/>
        <v>2284721</v>
      </c>
      <c r="Z61" s="17">
        <f t="shared" si="36"/>
        <v>2284721</v>
      </c>
      <c r="AA61" s="17">
        <f t="shared" si="37"/>
        <v>0</v>
      </c>
      <c r="AB61" s="18">
        <f t="shared" si="38"/>
        <v>2284721</v>
      </c>
    </row>
    <row r="62" spans="1:28" ht="15.75" customHeight="1" thickBot="1">
      <c r="A62" s="189" t="s">
        <v>69</v>
      </c>
      <c r="B62" s="184">
        <f>SUM(B58:B61)</f>
        <v>0</v>
      </c>
      <c r="C62" s="184">
        <f t="shared" ref="C62:J62" si="39">SUM(C55:C55)</f>
        <v>0</v>
      </c>
      <c r="D62" s="184">
        <f t="shared" si="39"/>
        <v>0</v>
      </c>
      <c r="E62" s="184">
        <f t="shared" si="39"/>
        <v>0</v>
      </c>
      <c r="F62" s="184">
        <f t="shared" si="39"/>
        <v>0</v>
      </c>
      <c r="G62" s="184">
        <f t="shared" si="39"/>
        <v>0</v>
      </c>
      <c r="H62" s="184">
        <f t="shared" si="39"/>
        <v>0</v>
      </c>
      <c r="I62" s="184">
        <f t="shared" si="39"/>
        <v>0</v>
      </c>
      <c r="J62" s="184">
        <f t="shared" si="39"/>
        <v>0</v>
      </c>
      <c r="K62" s="184">
        <f t="shared" ref="K62:W62" si="40">SUM(K51:K61)</f>
        <v>0</v>
      </c>
      <c r="L62" s="184">
        <f t="shared" si="40"/>
        <v>0</v>
      </c>
      <c r="M62" s="184">
        <f t="shared" si="40"/>
        <v>0</v>
      </c>
      <c r="N62" s="185">
        <f t="shared" si="40"/>
        <v>0</v>
      </c>
      <c r="O62" s="186">
        <f t="shared" si="40"/>
        <v>0</v>
      </c>
      <c r="P62" s="190">
        <f t="shared" si="40"/>
        <v>0</v>
      </c>
      <c r="Q62" s="190">
        <f t="shared" si="40"/>
        <v>11438177</v>
      </c>
      <c r="R62" s="190">
        <f t="shared" si="40"/>
        <v>11437109.169904474</v>
      </c>
      <c r="S62" s="190">
        <f t="shared" si="40"/>
        <v>10015845.527391976</v>
      </c>
      <c r="T62" s="190">
        <f t="shared" si="40"/>
        <v>9503780.1395216789</v>
      </c>
      <c r="U62" s="190">
        <f t="shared" si="40"/>
        <v>7450676</v>
      </c>
      <c r="V62" s="191">
        <f t="shared" si="40"/>
        <v>160574.31937818136</v>
      </c>
      <c r="W62" s="191">
        <f t="shared" si="40"/>
        <v>0</v>
      </c>
      <c r="X62" s="187">
        <f>SUM(X51:X61)</f>
        <v>50006162.156196304</v>
      </c>
      <c r="Z62" s="190">
        <f>SUM(Z51:Z61)</f>
        <v>44162219.015700638</v>
      </c>
      <c r="AA62" s="190">
        <f>SUM(AA51:AA61)</f>
        <v>0</v>
      </c>
      <c r="AB62" s="190">
        <f>SUM(AB51:AB61)</f>
        <v>44162219.015700638</v>
      </c>
    </row>
    <row r="63" spans="1:28" ht="15.75" thickBot="1">
      <c r="A63" s="203" t="s">
        <v>70</v>
      </c>
      <c r="B63" s="47"/>
      <c r="C63" s="47"/>
      <c r="D63" s="47"/>
      <c r="E63" s="181"/>
      <c r="F63" s="181"/>
      <c r="G63" s="181"/>
      <c r="H63" s="181"/>
      <c r="I63" s="182"/>
      <c r="J63" s="182"/>
      <c r="K63" s="182"/>
      <c r="L63" s="182"/>
      <c r="M63" s="182"/>
      <c r="N63" s="145"/>
      <c r="O63" s="146"/>
      <c r="P63" s="146"/>
      <c r="Q63" s="146"/>
      <c r="R63" s="146"/>
      <c r="S63" s="146"/>
      <c r="T63" s="146"/>
      <c r="U63" s="145"/>
      <c r="V63" s="87"/>
      <c r="W63" s="86"/>
      <c r="X63" s="176">
        <f>SUM(B63:O63)</f>
        <v>0</v>
      </c>
      <c r="Z63" s="17">
        <f t="shared" ref="Z63" si="41">SUM(B63:U63)</f>
        <v>0</v>
      </c>
      <c r="AA63" s="17">
        <f t="shared" si="4"/>
        <v>0</v>
      </c>
      <c r="AB63" s="204"/>
    </row>
    <row r="64" spans="1:28" ht="15" customHeight="1">
      <c r="A64" s="23" t="s">
        <v>53</v>
      </c>
      <c r="B64" s="53"/>
      <c r="C64" s="44"/>
      <c r="D64" s="44"/>
      <c r="E64" s="45"/>
      <c r="F64" s="45"/>
      <c r="G64" s="45"/>
      <c r="H64" s="45"/>
      <c r="I64" s="54"/>
      <c r="J64" s="35"/>
      <c r="K64" s="35"/>
      <c r="L64" s="35"/>
      <c r="M64" s="35"/>
      <c r="N64" s="30"/>
      <c r="O64" s="31"/>
      <c r="P64" s="31"/>
      <c r="Q64" s="31"/>
      <c r="R64" s="31"/>
      <c r="S64" s="31">
        <f>1221726-1221726</f>
        <v>0</v>
      </c>
      <c r="T64" s="31"/>
      <c r="U64" s="30"/>
      <c r="V64" s="30"/>
      <c r="W64" s="31"/>
      <c r="X64" s="16">
        <f t="shared" ref="X64:X72" si="42">SUM(B64:W64)</f>
        <v>0</v>
      </c>
      <c r="Z64" s="17">
        <f t="shared" ref="Z64:Z72" si="43">SUM(B64:V64)</f>
        <v>0</v>
      </c>
      <c r="AA64" s="17">
        <f t="shared" ref="AA64:AA72" si="44">+W64</f>
        <v>0</v>
      </c>
      <c r="AB64" s="18">
        <f t="shared" ref="AB64:AB72" si="45">+Z64+AA64</f>
        <v>0</v>
      </c>
    </row>
    <row r="65" spans="1:28" ht="15" customHeight="1">
      <c r="A65" s="23" t="s">
        <v>71</v>
      </c>
      <c r="B65" s="53"/>
      <c r="C65" s="44"/>
      <c r="D65" s="44"/>
      <c r="E65" s="45"/>
      <c r="F65" s="45"/>
      <c r="G65" s="45"/>
      <c r="H65" s="45"/>
      <c r="I65" s="54"/>
      <c r="J65" s="35"/>
      <c r="K65" s="35"/>
      <c r="L65" s="35"/>
      <c r="M65" s="35"/>
      <c r="N65" s="30"/>
      <c r="O65" s="31"/>
      <c r="P65" s="31"/>
      <c r="Q65" s="31"/>
      <c r="R65" s="31">
        <v>1508166.3188239879</v>
      </c>
      <c r="S65" s="31">
        <v>1467861.1648401855</v>
      </c>
      <c r="T65" s="31">
        <v>1014810.991408179</v>
      </c>
      <c r="U65" s="30">
        <v>1067045</v>
      </c>
      <c r="V65" s="30">
        <v>0</v>
      </c>
      <c r="W65" s="31"/>
      <c r="X65" s="16">
        <f t="shared" si="42"/>
        <v>5057883.4750723522</v>
      </c>
      <c r="Y65" s="1">
        <f>SUBTOTAL(9,X14:X65)</f>
        <v>813068947.43861806</v>
      </c>
      <c r="Z65" s="17">
        <f t="shared" si="43"/>
        <v>5057883.4750723522</v>
      </c>
      <c r="AA65" s="17">
        <f t="shared" si="44"/>
        <v>0</v>
      </c>
      <c r="AB65" s="18">
        <f t="shared" si="45"/>
        <v>5057883.4750723522</v>
      </c>
    </row>
    <row r="66" spans="1:28" ht="15" customHeight="1">
      <c r="A66" s="23" t="s">
        <v>72</v>
      </c>
      <c r="B66" s="53"/>
      <c r="C66" s="44"/>
      <c r="D66" s="44"/>
      <c r="E66" s="45"/>
      <c r="F66" s="45"/>
      <c r="G66" s="45"/>
      <c r="H66" s="45"/>
      <c r="I66" s="54"/>
      <c r="J66" s="35"/>
      <c r="K66" s="35"/>
      <c r="L66" s="35"/>
      <c r="M66" s="35"/>
      <c r="N66" s="30"/>
      <c r="O66" s="31"/>
      <c r="P66" s="31"/>
      <c r="Q66" s="31"/>
      <c r="R66" s="31">
        <v>1153148.418303425</v>
      </c>
      <c r="S66" s="31">
        <v>1500459.6634220676</v>
      </c>
      <c r="T66" s="31">
        <v>1042758.2030285494</v>
      </c>
      <c r="U66" s="30">
        <v>1139262</v>
      </c>
      <c r="V66" s="30">
        <v>147030</v>
      </c>
      <c r="W66" s="31">
        <v>145496</v>
      </c>
      <c r="X66" s="16">
        <f t="shared" si="42"/>
        <v>5128154.2847540416</v>
      </c>
      <c r="Y66" s="1">
        <f>SUBTOTAL(9,X15:X66)</f>
        <v>794866381.7233721</v>
      </c>
      <c r="Z66" s="17">
        <f t="shared" si="43"/>
        <v>4982658.2847540416</v>
      </c>
      <c r="AA66" s="17">
        <f t="shared" si="44"/>
        <v>145496</v>
      </c>
      <c r="AB66" s="18">
        <f t="shared" si="45"/>
        <v>5128154.2847540416</v>
      </c>
    </row>
    <row r="67" spans="1:28" ht="15" customHeight="1">
      <c r="A67" s="23" t="s">
        <v>73</v>
      </c>
      <c r="B67" s="44"/>
      <c r="C67" s="44"/>
      <c r="D67" s="44"/>
      <c r="E67" s="45"/>
      <c r="F67" s="45"/>
      <c r="G67" s="45"/>
      <c r="H67" s="45"/>
      <c r="I67" s="54"/>
      <c r="J67" s="35"/>
      <c r="K67" s="35"/>
      <c r="L67" s="35"/>
      <c r="M67" s="35"/>
      <c r="N67" s="30"/>
      <c r="O67" s="31"/>
      <c r="P67" s="31"/>
      <c r="Q67" s="31"/>
      <c r="R67" s="39">
        <v>1153148.418303425</v>
      </c>
      <c r="S67" s="39">
        <v>1517318.7607638885</v>
      </c>
      <c r="T67" s="39">
        <v>1267126.9587191357</v>
      </c>
      <c r="U67" s="40">
        <v>1384381</v>
      </c>
      <c r="V67" s="30">
        <v>0</v>
      </c>
      <c r="W67" s="31"/>
      <c r="X67" s="16">
        <f t="shared" si="42"/>
        <v>5321975.1377864499</v>
      </c>
      <c r="Y67" s="1">
        <f>SUBTOTAL(9,X17:X67)</f>
        <v>777925667.86115861</v>
      </c>
      <c r="Z67" s="17">
        <f t="shared" si="43"/>
        <v>5321975.1377864499</v>
      </c>
      <c r="AA67" s="17">
        <f t="shared" si="44"/>
        <v>0</v>
      </c>
      <c r="AB67" s="18">
        <f t="shared" si="45"/>
        <v>5321975.1377864499</v>
      </c>
    </row>
    <row r="68" spans="1:28" s="205" customFormat="1" ht="15" customHeight="1">
      <c r="A68" s="23" t="s">
        <v>65</v>
      </c>
      <c r="B68" s="53"/>
      <c r="C68" s="44"/>
      <c r="D68" s="44"/>
      <c r="E68" s="45"/>
      <c r="F68" s="45"/>
      <c r="G68" s="45"/>
      <c r="H68" s="45"/>
      <c r="I68" s="54"/>
      <c r="J68" s="35"/>
      <c r="K68" s="35"/>
      <c r="L68" s="35"/>
      <c r="M68" s="35"/>
      <c r="N68" s="30"/>
      <c r="O68" s="31"/>
      <c r="P68" s="31"/>
      <c r="Q68" s="31"/>
      <c r="R68" s="31"/>
      <c r="S68" s="31">
        <v>846410</v>
      </c>
      <c r="T68" s="31">
        <v>896349</v>
      </c>
      <c r="U68" s="30">
        <v>950130</v>
      </c>
      <c r="V68" s="30"/>
      <c r="W68" s="31"/>
      <c r="X68" s="16">
        <f t="shared" si="42"/>
        <v>2692889</v>
      </c>
      <c r="Y68" s="205">
        <f>SUBTOTAL(9,X12:X68)</f>
        <v>847291562.86115861</v>
      </c>
      <c r="Z68" s="17">
        <f t="shared" si="43"/>
        <v>2692889</v>
      </c>
      <c r="AA68" s="17">
        <f t="shared" si="44"/>
        <v>0</v>
      </c>
      <c r="AB68" s="18">
        <f t="shared" si="45"/>
        <v>2692889</v>
      </c>
    </row>
    <row r="69" spans="1:28" ht="15" customHeight="1">
      <c r="A69" s="19" t="s">
        <v>74</v>
      </c>
      <c r="B69" s="53"/>
      <c r="C69" s="44"/>
      <c r="D69" s="44"/>
      <c r="E69" s="45"/>
      <c r="F69" s="45"/>
      <c r="G69" s="45"/>
      <c r="H69" s="45"/>
      <c r="I69" s="54"/>
      <c r="J69" s="35"/>
      <c r="K69" s="35"/>
      <c r="L69" s="35"/>
      <c r="M69" s="35"/>
      <c r="N69" s="30"/>
      <c r="O69" s="31"/>
      <c r="P69" s="31"/>
      <c r="Q69" s="31">
        <v>380112</v>
      </c>
      <c r="R69" s="31"/>
      <c r="S69" s="31"/>
      <c r="T69" s="31"/>
      <c r="U69" s="30"/>
      <c r="V69" s="30"/>
      <c r="W69" s="31"/>
      <c r="X69" s="16">
        <f t="shared" si="42"/>
        <v>380112</v>
      </c>
      <c r="Z69" s="17">
        <f t="shared" si="43"/>
        <v>380112</v>
      </c>
      <c r="AA69" s="17">
        <f t="shared" si="44"/>
        <v>0</v>
      </c>
      <c r="AB69" s="18">
        <f t="shared" si="45"/>
        <v>380112</v>
      </c>
    </row>
    <row r="70" spans="1:28" ht="15" customHeight="1">
      <c r="A70" s="23" t="s">
        <v>75</v>
      </c>
      <c r="B70" s="53"/>
      <c r="C70" s="44"/>
      <c r="D70" s="44"/>
      <c r="E70" s="45"/>
      <c r="F70" s="45"/>
      <c r="G70" s="45"/>
      <c r="H70" s="45"/>
      <c r="I70" s="54"/>
      <c r="J70" s="35"/>
      <c r="K70" s="35"/>
      <c r="L70" s="35"/>
      <c r="M70" s="35"/>
      <c r="N70" s="30"/>
      <c r="O70" s="31"/>
      <c r="P70" s="31"/>
      <c r="Q70" s="31"/>
      <c r="R70" s="31">
        <v>1078529</v>
      </c>
      <c r="S70" s="31"/>
      <c r="T70" s="31"/>
      <c r="U70" s="30"/>
      <c r="V70" s="30"/>
      <c r="W70" s="31"/>
      <c r="X70" s="16">
        <f t="shared" si="42"/>
        <v>1078529</v>
      </c>
      <c r="Z70" s="17">
        <f t="shared" si="43"/>
        <v>1078529</v>
      </c>
      <c r="AA70" s="17">
        <f t="shared" si="44"/>
        <v>0</v>
      </c>
      <c r="AB70" s="18">
        <f t="shared" si="45"/>
        <v>1078529</v>
      </c>
    </row>
    <row r="71" spans="1:28" ht="15" customHeight="1">
      <c r="A71" s="23" t="s">
        <v>76</v>
      </c>
      <c r="B71" s="53"/>
      <c r="C71" s="44"/>
      <c r="D71" s="44"/>
      <c r="E71" s="45"/>
      <c r="F71" s="45"/>
      <c r="G71" s="45"/>
      <c r="H71" s="45"/>
      <c r="I71" s="54"/>
      <c r="J71" s="35"/>
      <c r="K71" s="35"/>
      <c r="L71" s="35"/>
      <c r="M71" s="35"/>
      <c r="N71" s="30"/>
      <c r="O71" s="31"/>
      <c r="P71" s="31"/>
      <c r="Q71" s="31">
        <v>1423868</v>
      </c>
      <c r="R71" s="31"/>
      <c r="S71" s="31"/>
      <c r="T71" s="31"/>
      <c r="U71" s="30"/>
      <c r="V71" s="30"/>
      <c r="W71" s="31"/>
      <c r="X71" s="16">
        <f t="shared" si="42"/>
        <v>1423868</v>
      </c>
      <c r="Z71" s="17">
        <f t="shared" si="43"/>
        <v>1423868</v>
      </c>
      <c r="AA71" s="17">
        <f t="shared" si="44"/>
        <v>0</v>
      </c>
      <c r="AB71" s="18">
        <f t="shared" si="45"/>
        <v>1423868</v>
      </c>
    </row>
    <row r="72" spans="1:28" ht="15" customHeight="1">
      <c r="A72" s="23" t="s">
        <v>55</v>
      </c>
      <c r="B72" s="53"/>
      <c r="C72" s="44"/>
      <c r="D72" s="44"/>
      <c r="E72" s="45"/>
      <c r="F72" s="45"/>
      <c r="G72" s="45"/>
      <c r="H72" s="45"/>
      <c r="I72" s="54"/>
      <c r="J72" s="35"/>
      <c r="K72" s="35"/>
      <c r="L72" s="35"/>
      <c r="M72" s="35"/>
      <c r="N72" s="30"/>
      <c r="O72" s="31"/>
      <c r="P72" s="31"/>
      <c r="Q72" s="31"/>
      <c r="R72" s="31"/>
      <c r="S72" s="31"/>
      <c r="T72" s="31">
        <v>808328</v>
      </c>
      <c r="U72" s="30"/>
      <c r="V72" s="30"/>
      <c r="W72" s="31"/>
      <c r="X72" s="16">
        <f t="shared" si="42"/>
        <v>808328</v>
      </c>
      <c r="Z72" s="17">
        <f t="shared" si="43"/>
        <v>808328</v>
      </c>
      <c r="AA72" s="17">
        <f t="shared" si="44"/>
        <v>0</v>
      </c>
      <c r="AB72" s="18">
        <f t="shared" si="45"/>
        <v>808328</v>
      </c>
    </row>
    <row r="73" spans="1:28" ht="15.75" customHeight="1" thickBot="1">
      <c r="A73" s="206" t="s">
        <v>77</v>
      </c>
      <c r="B73" s="207">
        <f t="shared" ref="B73:W73" si="46">SUM(B69:B72)</f>
        <v>0</v>
      </c>
      <c r="C73" s="207">
        <f t="shared" si="46"/>
        <v>0</v>
      </c>
      <c r="D73" s="207">
        <f t="shared" si="46"/>
        <v>0</v>
      </c>
      <c r="E73" s="207">
        <f t="shared" si="46"/>
        <v>0</v>
      </c>
      <c r="F73" s="207">
        <f t="shared" si="46"/>
        <v>0</v>
      </c>
      <c r="G73" s="207">
        <f t="shared" si="46"/>
        <v>0</v>
      </c>
      <c r="H73" s="207">
        <f t="shared" si="46"/>
        <v>0</v>
      </c>
      <c r="I73" s="207">
        <f t="shared" si="46"/>
        <v>0</v>
      </c>
      <c r="J73" s="207">
        <f t="shared" si="46"/>
        <v>0</v>
      </c>
      <c r="K73" s="207">
        <f t="shared" si="46"/>
        <v>0</v>
      </c>
      <c r="L73" s="207">
        <f t="shared" si="46"/>
        <v>0</v>
      </c>
      <c r="M73" s="207">
        <f t="shared" si="46"/>
        <v>0</v>
      </c>
      <c r="N73" s="208">
        <f t="shared" si="46"/>
        <v>0</v>
      </c>
      <c r="O73" s="51">
        <f t="shared" si="46"/>
        <v>0</v>
      </c>
      <c r="P73" s="51">
        <f t="shared" si="46"/>
        <v>0</v>
      </c>
      <c r="Q73" s="51">
        <f t="shared" si="46"/>
        <v>1803980</v>
      </c>
      <c r="R73" s="51">
        <f t="shared" si="46"/>
        <v>1078529</v>
      </c>
      <c r="S73" s="51">
        <f t="shared" si="46"/>
        <v>0</v>
      </c>
      <c r="T73" s="51">
        <f t="shared" si="46"/>
        <v>808328</v>
      </c>
      <c r="U73" s="51">
        <f t="shared" si="46"/>
        <v>0</v>
      </c>
      <c r="V73" s="52">
        <f t="shared" si="46"/>
        <v>0</v>
      </c>
      <c r="W73" s="52">
        <f t="shared" si="46"/>
        <v>0</v>
      </c>
      <c r="X73" s="209">
        <f>SUM(X64:X72)</f>
        <v>21891738.897612844</v>
      </c>
      <c r="Y73" s="210">
        <f t="shared" ref="Y73:AB73" si="47">SUM(Y64:Y72)</f>
        <v>3233152559.8843069</v>
      </c>
      <c r="Z73" s="210">
        <f t="shared" si="47"/>
        <v>21746242.897612844</v>
      </c>
      <c r="AA73" s="210">
        <f t="shared" si="47"/>
        <v>145496</v>
      </c>
      <c r="AB73" s="210">
        <f t="shared" si="47"/>
        <v>21891738.897612844</v>
      </c>
    </row>
    <row r="74" spans="1:28" ht="15" customHeight="1">
      <c r="A74" s="171" t="s">
        <v>78</v>
      </c>
      <c r="B74" s="211">
        <f t="shared" ref="B74:AB74" si="48">+B118+B140</f>
        <v>0</v>
      </c>
      <c r="C74" s="211">
        <f t="shared" si="48"/>
        <v>0</v>
      </c>
      <c r="D74" s="211">
        <f t="shared" si="48"/>
        <v>0</v>
      </c>
      <c r="E74" s="211">
        <f t="shared" si="48"/>
        <v>0</v>
      </c>
      <c r="F74" s="211">
        <f t="shared" si="48"/>
        <v>0</v>
      </c>
      <c r="G74" s="211">
        <f t="shared" si="48"/>
        <v>0</v>
      </c>
      <c r="H74" s="211">
        <f t="shared" si="48"/>
        <v>0</v>
      </c>
      <c r="I74" s="211">
        <f t="shared" si="48"/>
        <v>0</v>
      </c>
      <c r="J74" s="211">
        <f t="shared" si="48"/>
        <v>0</v>
      </c>
      <c r="K74" s="211">
        <f t="shared" si="48"/>
        <v>0</v>
      </c>
      <c r="L74" s="211">
        <f t="shared" si="48"/>
        <v>0</v>
      </c>
      <c r="M74" s="211">
        <f t="shared" si="48"/>
        <v>0</v>
      </c>
      <c r="N74" s="211">
        <f t="shared" si="48"/>
        <v>0</v>
      </c>
      <c r="O74" s="211">
        <f t="shared" si="48"/>
        <v>0</v>
      </c>
      <c r="P74" s="211">
        <f t="shared" si="48"/>
        <v>0</v>
      </c>
      <c r="Q74" s="211">
        <f t="shared" si="48"/>
        <v>14352720</v>
      </c>
      <c r="R74" s="211">
        <f t="shared" si="48"/>
        <v>38059000</v>
      </c>
      <c r="S74" s="211">
        <f t="shared" si="48"/>
        <v>32775000</v>
      </c>
      <c r="T74" s="211">
        <f t="shared" si="48"/>
        <v>25717000</v>
      </c>
      <c r="U74" s="211">
        <f t="shared" si="48"/>
        <v>26507000</v>
      </c>
      <c r="V74" s="212">
        <f t="shared" si="48"/>
        <v>4573000</v>
      </c>
      <c r="W74" s="212">
        <f t="shared" si="48"/>
        <v>38193526</v>
      </c>
      <c r="X74" s="213">
        <f t="shared" si="48"/>
        <v>180177246</v>
      </c>
      <c r="Y74" s="214">
        <f t="shared" si="48"/>
        <v>0</v>
      </c>
      <c r="Z74" s="214">
        <f t="shared" si="48"/>
        <v>141983720</v>
      </c>
      <c r="AA74" s="214">
        <f t="shared" si="48"/>
        <v>38193526</v>
      </c>
      <c r="AB74" s="214">
        <f t="shared" si="48"/>
        <v>180177246</v>
      </c>
    </row>
    <row r="75" spans="1:28" ht="15.75" thickBot="1">
      <c r="A75" s="215" t="s">
        <v>79</v>
      </c>
      <c r="B75" s="38"/>
      <c r="C75" s="123"/>
      <c r="D75" s="33"/>
      <c r="E75" s="34"/>
      <c r="F75" s="34"/>
      <c r="G75" s="34"/>
      <c r="H75" s="34"/>
      <c r="I75" s="35"/>
      <c r="J75" s="35"/>
      <c r="K75" s="35"/>
      <c r="L75" s="35"/>
      <c r="M75" s="35"/>
      <c r="N75" s="40"/>
      <c r="O75" s="39"/>
      <c r="P75" s="39"/>
      <c r="Q75" s="39"/>
      <c r="R75" s="39"/>
      <c r="S75" s="39"/>
      <c r="T75" s="39"/>
      <c r="U75" s="40"/>
      <c r="V75" s="40"/>
      <c r="W75" s="39"/>
      <c r="X75" s="216">
        <f>SUM(B75:P75)</f>
        <v>0</v>
      </c>
      <c r="Z75" s="17">
        <f t="shared" ref="Z75:Z117" si="49">SUM(B75:V75)</f>
        <v>0</v>
      </c>
      <c r="AA75" s="17">
        <f t="shared" ref="AA75:AA117" si="50">+W75</f>
        <v>0</v>
      </c>
      <c r="AB75" s="18">
        <f t="shared" ref="AB75:AB117" si="51">+Z75+AA75</f>
        <v>0</v>
      </c>
    </row>
    <row r="76" spans="1:28" ht="15" customHeight="1">
      <c r="A76" s="55" t="s">
        <v>80</v>
      </c>
      <c r="B76" s="56"/>
      <c r="C76" s="57"/>
      <c r="D76" s="56"/>
      <c r="E76" s="58"/>
      <c r="F76" s="58"/>
      <c r="G76" s="58"/>
      <c r="H76" s="58"/>
      <c r="I76" s="58"/>
      <c r="J76" s="58"/>
      <c r="K76" s="58"/>
      <c r="L76" s="58"/>
      <c r="M76" s="59"/>
      <c r="N76" s="59"/>
      <c r="O76" s="58"/>
      <c r="P76" s="58"/>
      <c r="Q76" s="58"/>
      <c r="R76" s="58">
        <f>1764000*5-3528000</f>
        <v>5292000</v>
      </c>
      <c r="S76" s="58">
        <f>1500000*3</f>
        <v>4500000</v>
      </c>
      <c r="T76" s="58">
        <f>1605000*1</f>
        <v>1605000</v>
      </c>
      <c r="U76" s="59">
        <f>1605000-1605000</f>
        <v>0</v>
      </c>
      <c r="V76" s="59">
        <v>0</v>
      </c>
      <c r="W76" s="58">
        <v>0</v>
      </c>
      <c r="X76" s="60">
        <f t="shared" ref="X76:X117" si="52">SUM(B76:W76)</f>
        <v>11397000</v>
      </c>
      <c r="Z76" s="17">
        <f t="shared" si="49"/>
        <v>11397000</v>
      </c>
      <c r="AA76" s="17">
        <f t="shared" si="50"/>
        <v>0</v>
      </c>
      <c r="AB76" s="18">
        <f t="shared" si="51"/>
        <v>11397000</v>
      </c>
    </row>
    <row r="77" spans="1:28" ht="15" customHeight="1">
      <c r="A77" s="61" t="s">
        <v>81</v>
      </c>
      <c r="B77" s="17"/>
      <c r="C77" s="62"/>
      <c r="D77" s="17"/>
      <c r="E77" s="31"/>
      <c r="F77" s="31"/>
      <c r="G77" s="31"/>
      <c r="H77" s="31"/>
      <c r="I77" s="31"/>
      <c r="J77" s="31"/>
      <c r="K77" s="31"/>
      <c r="L77" s="31"/>
      <c r="M77" s="30"/>
      <c r="N77" s="30"/>
      <c r="O77" s="31"/>
      <c r="P77" s="31"/>
      <c r="Q77" s="31">
        <f>1500000</f>
        <v>1500000</v>
      </c>
      <c r="R77" s="31">
        <v>0</v>
      </c>
      <c r="S77" s="31"/>
      <c r="T77" s="31"/>
      <c r="U77" s="30"/>
      <c r="V77" s="30"/>
      <c r="W77" s="31"/>
      <c r="X77" s="60">
        <f t="shared" si="52"/>
        <v>1500000</v>
      </c>
      <c r="Z77" s="17">
        <f t="shared" si="49"/>
        <v>1500000</v>
      </c>
      <c r="AA77" s="17">
        <f t="shared" si="50"/>
        <v>0</v>
      </c>
      <c r="AB77" s="18">
        <f t="shared" si="51"/>
        <v>1500000</v>
      </c>
    </row>
    <row r="78" spans="1:28" ht="15" customHeight="1">
      <c r="A78" s="61" t="s">
        <v>82</v>
      </c>
      <c r="B78" s="17"/>
      <c r="C78" s="62"/>
      <c r="D78" s="17"/>
      <c r="E78" s="31"/>
      <c r="F78" s="31"/>
      <c r="G78" s="31"/>
      <c r="H78" s="31"/>
      <c r="I78" s="31"/>
      <c r="J78" s="31"/>
      <c r="K78" s="31"/>
      <c r="L78" s="31"/>
      <c r="M78" s="30"/>
      <c r="N78" s="30"/>
      <c r="O78" s="31"/>
      <c r="P78" s="31"/>
      <c r="Q78" s="31">
        <v>0</v>
      </c>
      <c r="R78" s="31">
        <v>0</v>
      </c>
      <c r="S78" s="31"/>
      <c r="T78" s="31"/>
      <c r="U78" s="30">
        <v>2000000</v>
      </c>
      <c r="V78" s="30">
        <v>0</v>
      </c>
      <c r="W78" s="31"/>
      <c r="X78" s="60">
        <f t="shared" si="52"/>
        <v>2000000</v>
      </c>
      <c r="Z78" s="17">
        <f t="shared" si="49"/>
        <v>2000000</v>
      </c>
      <c r="AA78" s="17">
        <f t="shared" si="50"/>
        <v>0</v>
      </c>
      <c r="AB78" s="18">
        <f t="shared" si="51"/>
        <v>2000000</v>
      </c>
    </row>
    <row r="79" spans="1:28" ht="15" customHeight="1">
      <c r="A79" s="63" t="s">
        <v>83</v>
      </c>
      <c r="B79" s="17"/>
      <c r="C79" s="62"/>
      <c r="D79" s="17"/>
      <c r="E79" s="31"/>
      <c r="F79" s="31"/>
      <c r="G79" s="31"/>
      <c r="H79" s="31"/>
      <c r="I79" s="31"/>
      <c r="J79" s="31"/>
      <c r="K79" s="31"/>
      <c r="L79" s="31"/>
      <c r="M79" s="30"/>
      <c r="N79" s="30"/>
      <c r="O79" s="31"/>
      <c r="P79" s="31"/>
      <c r="Q79" s="31"/>
      <c r="R79" s="31"/>
      <c r="S79" s="31"/>
      <c r="T79" s="31">
        <v>0</v>
      </c>
      <c r="U79" s="30">
        <f>1200000*1-1200000</f>
        <v>0</v>
      </c>
      <c r="V79" s="30">
        <f>3600000-1800000+3600000-1800000-1800000-1800000</f>
        <v>0</v>
      </c>
      <c r="W79" s="31">
        <v>1800000</v>
      </c>
      <c r="X79" s="60">
        <f t="shared" si="52"/>
        <v>1800000</v>
      </c>
      <c r="Z79" s="17">
        <f t="shared" si="49"/>
        <v>0</v>
      </c>
      <c r="AA79" s="17">
        <f t="shared" si="50"/>
        <v>1800000</v>
      </c>
      <c r="AB79" s="18">
        <f t="shared" si="51"/>
        <v>1800000</v>
      </c>
    </row>
    <row r="80" spans="1:28" ht="15" customHeight="1">
      <c r="A80" s="63" t="s">
        <v>84</v>
      </c>
      <c r="B80" s="17"/>
      <c r="C80" s="62"/>
      <c r="D80" s="17"/>
      <c r="E80" s="31"/>
      <c r="F80" s="31"/>
      <c r="G80" s="31"/>
      <c r="H80" s="31"/>
      <c r="I80" s="31"/>
      <c r="J80" s="31"/>
      <c r="K80" s="31"/>
      <c r="L80" s="31"/>
      <c r="M80" s="30"/>
      <c r="N80" s="30"/>
      <c r="O80" s="31"/>
      <c r="P80" s="31"/>
      <c r="Q80" s="31"/>
      <c r="R80" s="31"/>
      <c r="S80" s="31"/>
      <c r="T80" s="31"/>
      <c r="U80" s="30"/>
      <c r="V80" s="30"/>
      <c r="W80" s="31">
        <v>1200000</v>
      </c>
      <c r="X80" s="60">
        <f t="shared" si="52"/>
        <v>1200000</v>
      </c>
      <c r="Z80" s="17">
        <f t="shared" si="49"/>
        <v>0</v>
      </c>
      <c r="AA80" s="17">
        <f t="shared" si="50"/>
        <v>1200000</v>
      </c>
      <c r="AB80" s="18">
        <f t="shared" si="51"/>
        <v>1200000</v>
      </c>
    </row>
    <row r="81" spans="1:28" ht="15" customHeight="1">
      <c r="A81" s="64" t="s">
        <v>85</v>
      </c>
      <c r="B81" s="17"/>
      <c r="C81" s="62"/>
      <c r="D81" s="17"/>
      <c r="E81" s="31"/>
      <c r="F81" s="14"/>
      <c r="G81" s="14"/>
      <c r="H81" s="14"/>
      <c r="I81" s="14"/>
      <c r="J81" s="14"/>
      <c r="K81" s="14"/>
      <c r="L81" s="14"/>
      <c r="M81" s="15"/>
      <c r="N81" s="15"/>
      <c r="O81" s="65"/>
      <c r="P81" s="66"/>
      <c r="Q81" s="66"/>
      <c r="R81" s="66"/>
      <c r="S81" s="66">
        <f>1600000*4</f>
        <v>6400000</v>
      </c>
      <c r="T81" s="66"/>
      <c r="U81" s="67"/>
      <c r="V81" s="67"/>
      <c r="W81" s="66"/>
      <c r="X81" s="60">
        <f t="shared" si="52"/>
        <v>6400000</v>
      </c>
      <c r="Z81" s="17">
        <f t="shared" si="49"/>
        <v>6400000</v>
      </c>
      <c r="AA81" s="17">
        <f t="shared" si="50"/>
        <v>0</v>
      </c>
      <c r="AB81" s="18">
        <f t="shared" si="51"/>
        <v>6400000</v>
      </c>
    </row>
    <row r="82" spans="1:28" ht="15" customHeight="1">
      <c r="A82" s="64" t="s">
        <v>86</v>
      </c>
      <c r="B82" s="17"/>
      <c r="C82" s="62"/>
      <c r="D82" s="17"/>
      <c r="E82" s="31"/>
      <c r="F82" s="14"/>
      <c r="G82" s="14"/>
      <c r="H82" s="14"/>
      <c r="I82" s="14"/>
      <c r="J82" s="14"/>
      <c r="K82" s="14"/>
      <c r="L82" s="14"/>
      <c r="M82" s="15"/>
      <c r="N82" s="15"/>
      <c r="O82" s="65"/>
      <c r="P82" s="66"/>
      <c r="Q82" s="66"/>
      <c r="R82" s="66"/>
      <c r="S82" s="66"/>
      <c r="T82" s="66">
        <f>1800000*6-1800000-1800000-1800000</f>
        <v>5400000</v>
      </c>
      <c r="U82" s="67"/>
      <c r="V82" s="67"/>
      <c r="W82" s="66"/>
      <c r="X82" s="60">
        <f t="shared" si="52"/>
        <v>5400000</v>
      </c>
      <c r="Y82" s="68"/>
      <c r="Z82" s="17">
        <f t="shared" si="49"/>
        <v>5400000</v>
      </c>
      <c r="AA82" s="17">
        <f t="shared" si="50"/>
        <v>0</v>
      </c>
      <c r="AB82" s="18">
        <f t="shared" si="51"/>
        <v>5400000</v>
      </c>
    </row>
    <row r="83" spans="1:28" ht="15" customHeight="1">
      <c r="A83" s="61" t="s">
        <v>87</v>
      </c>
      <c r="B83" s="17"/>
      <c r="C83" s="62"/>
      <c r="D83" s="17"/>
      <c r="E83" s="31"/>
      <c r="F83" s="31"/>
      <c r="G83" s="31"/>
      <c r="H83" s="31"/>
      <c r="I83" s="31"/>
      <c r="J83" s="31"/>
      <c r="K83" s="31"/>
      <c r="L83" s="31"/>
      <c r="M83" s="30"/>
      <c r="N83" s="30"/>
      <c r="O83" s="31"/>
      <c r="P83" s="31"/>
      <c r="Q83" s="31"/>
      <c r="R83" s="31"/>
      <c r="S83" s="31">
        <f>7500000</f>
        <v>7500000</v>
      </c>
      <c r="T83" s="31">
        <v>0</v>
      </c>
      <c r="U83" s="30"/>
      <c r="V83" s="30"/>
      <c r="W83" s="31"/>
      <c r="X83" s="60">
        <f t="shared" si="52"/>
        <v>7500000</v>
      </c>
      <c r="Z83" s="17">
        <f t="shared" si="49"/>
        <v>7500000</v>
      </c>
      <c r="AA83" s="17">
        <f t="shared" si="50"/>
        <v>0</v>
      </c>
      <c r="AB83" s="18">
        <f t="shared" si="51"/>
        <v>7500000</v>
      </c>
    </row>
    <row r="84" spans="1:28" ht="15" customHeight="1">
      <c r="A84" s="61" t="s">
        <v>88</v>
      </c>
      <c r="B84" s="17"/>
      <c r="C84" s="62"/>
      <c r="D84" s="17"/>
      <c r="E84" s="31"/>
      <c r="F84" s="31"/>
      <c r="G84" s="31"/>
      <c r="H84" s="31"/>
      <c r="I84" s="31"/>
      <c r="J84" s="31"/>
      <c r="K84" s="31"/>
      <c r="L84" s="31"/>
      <c r="M84" s="30"/>
      <c r="N84" s="30"/>
      <c r="O84" s="31"/>
      <c r="P84" s="31"/>
      <c r="Q84" s="31"/>
      <c r="R84" s="31"/>
      <c r="S84" s="31"/>
      <c r="T84" s="31">
        <v>4500000</v>
      </c>
      <c r="U84" s="30"/>
      <c r="V84" s="30"/>
      <c r="W84" s="31"/>
      <c r="X84" s="60">
        <f t="shared" si="52"/>
        <v>4500000</v>
      </c>
      <c r="Z84" s="17">
        <f t="shared" si="49"/>
        <v>4500000</v>
      </c>
      <c r="AA84" s="17">
        <f t="shared" si="50"/>
        <v>0</v>
      </c>
      <c r="AB84" s="18">
        <f t="shared" si="51"/>
        <v>4500000</v>
      </c>
    </row>
    <row r="85" spans="1:28" ht="15" customHeight="1">
      <c r="A85" s="23" t="s">
        <v>89</v>
      </c>
      <c r="B85" s="17"/>
      <c r="C85" s="17"/>
      <c r="D85" s="17"/>
      <c r="E85" s="31"/>
      <c r="F85" s="14"/>
      <c r="G85" s="14"/>
      <c r="H85" s="14"/>
      <c r="I85" s="14"/>
      <c r="J85" s="14"/>
      <c r="K85" s="14"/>
      <c r="L85" s="14"/>
      <c r="M85" s="14"/>
      <c r="N85" s="15"/>
      <c r="O85" s="65"/>
      <c r="P85" s="66"/>
      <c r="Q85" s="66"/>
      <c r="R85" s="66">
        <f>3740000</f>
        <v>3740000</v>
      </c>
      <c r="S85" s="66"/>
      <c r="T85" s="66"/>
      <c r="U85" s="67"/>
      <c r="V85" s="67"/>
      <c r="W85" s="66"/>
      <c r="X85" s="60">
        <f t="shared" si="52"/>
        <v>3740000</v>
      </c>
      <c r="Z85" s="17">
        <f t="shared" si="49"/>
        <v>3740000</v>
      </c>
      <c r="AA85" s="17">
        <f t="shared" si="50"/>
        <v>0</v>
      </c>
      <c r="AB85" s="18">
        <f t="shared" si="51"/>
        <v>3740000</v>
      </c>
    </row>
    <row r="86" spans="1:28" ht="15" customHeight="1">
      <c r="A86" s="23" t="s">
        <v>90</v>
      </c>
      <c r="B86" s="17"/>
      <c r="C86" s="62"/>
      <c r="D86" s="17"/>
      <c r="E86" s="31"/>
      <c r="F86" s="14"/>
      <c r="G86" s="14"/>
      <c r="H86" s="14"/>
      <c r="I86" s="14"/>
      <c r="J86" s="14"/>
      <c r="K86" s="14"/>
      <c r="L86" s="14"/>
      <c r="M86" s="15"/>
      <c r="N86" s="15"/>
      <c r="O86" s="65"/>
      <c r="P86" s="66"/>
      <c r="Q86" s="66"/>
      <c r="R86" s="66"/>
      <c r="S86" s="66">
        <v>1320000</v>
      </c>
      <c r="T86" s="66">
        <v>0</v>
      </c>
      <c r="U86" s="67"/>
      <c r="V86" s="67"/>
      <c r="W86" s="66"/>
      <c r="X86" s="60">
        <f t="shared" si="52"/>
        <v>1320000</v>
      </c>
      <c r="Z86" s="17">
        <f t="shared" si="49"/>
        <v>1320000</v>
      </c>
      <c r="AA86" s="17">
        <f t="shared" si="50"/>
        <v>0</v>
      </c>
      <c r="AB86" s="18">
        <f t="shared" si="51"/>
        <v>1320000</v>
      </c>
    </row>
    <row r="87" spans="1:28" ht="15" customHeight="1">
      <c r="A87" s="61" t="s">
        <v>91</v>
      </c>
      <c r="B87" s="17"/>
      <c r="C87" s="62"/>
      <c r="D87" s="17"/>
      <c r="E87" s="31"/>
      <c r="F87" s="31"/>
      <c r="G87" s="31"/>
      <c r="H87" s="31"/>
      <c r="I87" s="31"/>
      <c r="J87" s="31"/>
      <c r="K87" s="31"/>
      <c r="L87" s="31"/>
      <c r="M87" s="30"/>
      <c r="N87" s="30"/>
      <c r="O87" s="31"/>
      <c r="P87" s="31"/>
      <c r="Q87" s="31"/>
      <c r="R87" s="31">
        <v>0</v>
      </c>
      <c r="S87" s="31">
        <v>1740000</v>
      </c>
      <c r="T87" s="31">
        <v>0</v>
      </c>
      <c r="U87" s="30"/>
      <c r="V87" s="30"/>
      <c r="W87" s="31"/>
      <c r="X87" s="60">
        <f t="shared" si="52"/>
        <v>1740000</v>
      </c>
      <c r="Z87" s="17">
        <f t="shared" si="49"/>
        <v>1740000</v>
      </c>
      <c r="AA87" s="17">
        <f t="shared" si="50"/>
        <v>0</v>
      </c>
      <c r="AB87" s="18">
        <f t="shared" si="51"/>
        <v>1740000</v>
      </c>
    </row>
    <row r="88" spans="1:28" ht="15" customHeight="1">
      <c r="A88" s="61" t="s">
        <v>92</v>
      </c>
      <c r="B88" s="17"/>
      <c r="C88" s="62"/>
      <c r="D88" s="17"/>
      <c r="E88" s="31"/>
      <c r="F88" s="31"/>
      <c r="G88" s="31"/>
      <c r="H88" s="31"/>
      <c r="I88" s="31"/>
      <c r="J88" s="31"/>
      <c r="K88" s="31"/>
      <c r="L88" s="31"/>
      <c r="M88" s="30"/>
      <c r="N88" s="30"/>
      <c r="O88" s="31"/>
      <c r="P88" s="31"/>
      <c r="Q88" s="31"/>
      <c r="R88" s="31"/>
      <c r="S88" s="31"/>
      <c r="T88" s="31">
        <v>2400000</v>
      </c>
      <c r="U88" s="30">
        <f>8000000-4000000</f>
        <v>4000000</v>
      </c>
      <c r="V88" s="30"/>
      <c r="W88" s="31"/>
      <c r="X88" s="60">
        <f t="shared" si="52"/>
        <v>6400000</v>
      </c>
      <c r="Z88" s="17">
        <f t="shared" si="49"/>
        <v>6400000</v>
      </c>
      <c r="AA88" s="17">
        <f t="shared" si="50"/>
        <v>0</v>
      </c>
      <c r="AB88" s="18">
        <f t="shared" si="51"/>
        <v>6400000</v>
      </c>
    </row>
    <row r="89" spans="1:28" ht="15" customHeight="1">
      <c r="A89" s="61" t="s">
        <v>93</v>
      </c>
      <c r="B89" s="17"/>
      <c r="C89" s="62"/>
      <c r="D89" s="17"/>
      <c r="E89" s="31"/>
      <c r="F89" s="31"/>
      <c r="G89" s="31"/>
      <c r="H89" s="31"/>
      <c r="I89" s="31"/>
      <c r="J89" s="31"/>
      <c r="K89" s="31"/>
      <c r="L89" s="31"/>
      <c r="M89" s="30"/>
      <c r="N89" s="30"/>
      <c r="O89" s="31"/>
      <c r="P89" s="31"/>
      <c r="Q89" s="31"/>
      <c r="R89" s="31">
        <f>1600000</f>
        <v>1600000</v>
      </c>
      <c r="S89" s="31"/>
      <c r="T89" s="31"/>
      <c r="U89" s="30"/>
      <c r="V89" s="30"/>
      <c r="W89" s="31"/>
      <c r="X89" s="60">
        <f t="shared" si="52"/>
        <v>1600000</v>
      </c>
      <c r="Z89" s="17">
        <f t="shared" si="49"/>
        <v>1600000</v>
      </c>
      <c r="AA89" s="17">
        <f t="shared" si="50"/>
        <v>0</v>
      </c>
      <c r="AB89" s="18">
        <f t="shared" si="51"/>
        <v>1600000</v>
      </c>
    </row>
    <row r="90" spans="1:28" ht="15" customHeight="1">
      <c r="A90" s="61" t="s">
        <v>94</v>
      </c>
      <c r="B90" s="17"/>
      <c r="C90" s="62"/>
      <c r="D90" s="17"/>
      <c r="E90" s="31"/>
      <c r="F90" s="31"/>
      <c r="G90" s="31"/>
      <c r="H90" s="31"/>
      <c r="I90" s="31"/>
      <c r="J90" s="31"/>
      <c r="K90" s="31"/>
      <c r="L90" s="31"/>
      <c r="M90" s="30"/>
      <c r="N90" s="30"/>
      <c r="O90" s="31"/>
      <c r="P90" s="31"/>
      <c r="Q90" s="31"/>
      <c r="R90" s="31">
        <f>1500000</f>
        <v>1500000</v>
      </c>
      <c r="S90" s="31"/>
      <c r="T90" s="31"/>
      <c r="U90" s="30"/>
      <c r="V90" s="30"/>
      <c r="W90" s="31"/>
      <c r="X90" s="60">
        <f t="shared" si="52"/>
        <v>1500000</v>
      </c>
      <c r="Z90" s="17">
        <f t="shared" si="49"/>
        <v>1500000</v>
      </c>
      <c r="AA90" s="17">
        <f t="shared" si="50"/>
        <v>0</v>
      </c>
      <c r="AB90" s="18">
        <f t="shared" si="51"/>
        <v>1500000</v>
      </c>
    </row>
    <row r="91" spans="1:28" ht="15" customHeight="1">
      <c r="A91" s="61" t="s">
        <v>95</v>
      </c>
      <c r="B91" s="17"/>
      <c r="C91" s="62"/>
      <c r="D91" s="17"/>
      <c r="E91" s="31"/>
      <c r="F91" s="31"/>
      <c r="G91" s="31"/>
      <c r="H91" s="31"/>
      <c r="I91" s="31"/>
      <c r="J91" s="31"/>
      <c r="K91" s="31"/>
      <c r="L91" s="31"/>
      <c r="M91" s="30"/>
      <c r="N91" s="30"/>
      <c r="O91" s="31"/>
      <c r="P91" s="31"/>
      <c r="Q91" s="31"/>
      <c r="R91" s="31">
        <f>1600000</f>
        <v>1600000</v>
      </c>
      <c r="S91" s="31"/>
      <c r="T91" s="31"/>
      <c r="U91" s="30"/>
      <c r="V91" s="30"/>
      <c r="W91" s="31"/>
      <c r="X91" s="60">
        <f t="shared" si="52"/>
        <v>1600000</v>
      </c>
      <c r="Z91" s="17">
        <f t="shared" si="49"/>
        <v>1600000</v>
      </c>
      <c r="AA91" s="17">
        <f t="shared" si="50"/>
        <v>0</v>
      </c>
      <c r="AB91" s="18">
        <f t="shared" si="51"/>
        <v>1600000</v>
      </c>
    </row>
    <row r="92" spans="1:28" ht="15" customHeight="1">
      <c r="A92" s="61" t="s">
        <v>96</v>
      </c>
      <c r="B92" s="17"/>
      <c r="C92" s="62"/>
      <c r="D92" s="17"/>
      <c r="E92" s="31"/>
      <c r="F92" s="31"/>
      <c r="G92" s="31"/>
      <c r="H92" s="31"/>
      <c r="I92" s="31"/>
      <c r="J92" s="31"/>
      <c r="K92" s="31"/>
      <c r="L92" s="31"/>
      <c r="M92" s="30"/>
      <c r="N92" s="30"/>
      <c r="O92" s="31"/>
      <c r="P92" s="31"/>
      <c r="Q92" s="31"/>
      <c r="R92" s="31"/>
      <c r="S92" s="31"/>
      <c r="T92" s="69">
        <f>2500000-2500000</f>
        <v>0</v>
      </c>
      <c r="U92" s="30"/>
      <c r="V92" s="30">
        <f>3000000+2000000-1000000-1000000</f>
        <v>3000000</v>
      </c>
      <c r="W92" s="31"/>
      <c r="X92" s="60">
        <f t="shared" si="52"/>
        <v>3000000</v>
      </c>
      <c r="Z92" s="17">
        <f t="shared" si="49"/>
        <v>3000000</v>
      </c>
      <c r="AA92" s="17">
        <f t="shared" si="50"/>
        <v>0</v>
      </c>
      <c r="AB92" s="18">
        <f t="shared" si="51"/>
        <v>3000000</v>
      </c>
    </row>
    <row r="93" spans="1:28" ht="15" customHeight="1">
      <c r="A93" s="61" t="s">
        <v>97</v>
      </c>
      <c r="B93" s="17"/>
      <c r="C93" s="62"/>
      <c r="D93" s="17"/>
      <c r="E93" s="31"/>
      <c r="F93" s="31"/>
      <c r="G93" s="31"/>
      <c r="H93" s="31"/>
      <c r="I93" s="31"/>
      <c r="J93" s="31"/>
      <c r="K93" s="31"/>
      <c r="L93" s="31"/>
      <c r="M93" s="30"/>
      <c r="N93" s="30"/>
      <c r="O93" s="31"/>
      <c r="P93" s="31"/>
      <c r="Q93" s="31"/>
      <c r="R93" s="31"/>
      <c r="S93" s="31"/>
      <c r="T93" s="31">
        <f>5400000-1800000-1800000</f>
        <v>1800000</v>
      </c>
      <c r="U93" s="30"/>
      <c r="V93" s="30"/>
      <c r="W93" s="31"/>
      <c r="X93" s="60">
        <f t="shared" si="52"/>
        <v>1800000</v>
      </c>
      <c r="Z93" s="17">
        <f t="shared" si="49"/>
        <v>1800000</v>
      </c>
      <c r="AA93" s="17">
        <f t="shared" si="50"/>
        <v>0</v>
      </c>
      <c r="AB93" s="18">
        <f t="shared" si="51"/>
        <v>1800000</v>
      </c>
    </row>
    <row r="94" spans="1:28" ht="15" customHeight="1">
      <c r="A94" s="64" t="s">
        <v>98</v>
      </c>
      <c r="B94" s="17"/>
      <c r="C94" s="17"/>
      <c r="D94" s="17"/>
      <c r="E94" s="31"/>
      <c r="F94" s="14"/>
      <c r="G94" s="14"/>
      <c r="H94" s="14"/>
      <c r="I94" s="14"/>
      <c r="J94" s="14"/>
      <c r="K94" s="14"/>
      <c r="L94" s="14"/>
      <c r="M94" s="14"/>
      <c r="N94" s="15"/>
      <c r="O94" s="65"/>
      <c r="P94" s="66"/>
      <c r="Q94" s="66"/>
      <c r="R94" s="66"/>
      <c r="S94" s="66"/>
      <c r="T94" s="66"/>
      <c r="U94" s="67">
        <f>2000000-1000000-1000000</f>
        <v>0</v>
      </c>
      <c r="V94" s="67">
        <f>1800000-1800000</f>
        <v>0</v>
      </c>
      <c r="W94" s="66">
        <v>2000000</v>
      </c>
      <c r="X94" s="60">
        <f t="shared" si="52"/>
        <v>2000000</v>
      </c>
      <c r="Z94" s="17">
        <f t="shared" si="49"/>
        <v>0</v>
      </c>
      <c r="AA94" s="17">
        <f t="shared" si="50"/>
        <v>2000000</v>
      </c>
      <c r="AB94" s="18">
        <f t="shared" si="51"/>
        <v>2000000</v>
      </c>
    </row>
    <row r="95" spans="1:28" ht="15" customHeight="1">
      <c r="A95" s="64" t="s">
        <v>99</v>
      </c>
      <c r="B95" s="17"/>
      <c r="C95" s="17"/>
      <c r="D95" s="17"/>
      <c r="E95" s="31"/>
      <c r="F95" s="14"/>
      <c r="G95" s="14"/>
      <c r="H95" s="14"/>
      <c r="I95" s="14"/>
      <c r="J95" s="14"/>
      <c r="K95" s="14"/>
      <c r="L95" s="14"/>
      <c r="M95" s="14"/>
      <c r="N95" s="15"/>
      <c r="O95" s="65"/>
      <c r="P95" s="66"/>
      <c r="Q95" s="66"/>
      <c r="R95" s="66"/>
      <c r="S95" s="66"/>
      <c r="T95" s="66"/>
      <c r="U95" s="67"/>
      <c r="V95" s="67">
        <v>1000000</v>
      </c>
      <c r="W95" s="66"/>
      <c r="X95" s="60">
        <f t="shared" si="52"/>
        <v>1000000</v>
      </c>
      <c r="Z95" s="17">
        <f t="shared" si="49"/>
        <v>1000000</v>
      </c>
      <c r="AA95" s="17">
        <f t="shared" si="50"/>
        <v>0</v>
      </c>
      <c r="AB95" s="18">
        <f t="shared" si="51"/>
        <v>1000000</v>
      </c>
    </row>
    <row r="96" spans="1:28" ht="15" customHeight="1">
      <c r="A96" s="64" t="s">
        <v>100</v>
      </c>
      <c r="B96" s="17"/>
      <c r="C96" s="17"/>
      <c r="D96" s="17"/>
      <c r="E96" s="31"/>
      <c r="F96" s="14"/>
      <c r="G96" s="14"/>
      <c r="H96" s="14"/>
      <c r="I96" s="14"/>
      <c r="J96" s="14"/>
      <c r="K96" s="14"/>
      <c r="L96" s="14"/>
      <c r="M96" s="14"/>
      <c r="N96" s="15"/>
      <c r="O96" s="65"/>
      <c r="P96" s="66"/>
      <c r="Q96" s="66"/>
      <c r="R96" s="66"/>
      <c r="S96" s="66"/>
      <c r="T96" s="66"/>
      <c r="U96" s="67"/>
      <c r="V96" s="67"/>
      <c r="W96" s="31">
        <v>1800000</v>
      </c>
      <c r="X96" s="60">
        <f t="shared" si="52"/>
        <v>1800000</v>
      </c>
      <c r="Z96" s="17">
        <f t="shared" si="49"/>
        <v>0</v>
      </c>
      <c r="AA96" s="17">
        <f t="shared" si="50"/>
        <v>1800000</v>
      </c>
      <c r="AB96" s="18">
        <f t="shared" si="51"/>
        <v>1800000</v>
      </c>
    </row>
    <row r="97" spans="1:28" ht="15" customHeight="1">
      <c r="A97" s="64" t="s">
        <v>101</v>
      </c>
      <c r="B97" s="17"/>
      <c r="C97" s="17"/>
      <c r="D97" s="17"/>
      <c r="E97" s="31"/>
      <c r="F97" s="14"/>
      <c r="G97" s="14"/>
      <c r="H97" s="14"/>
      <c r="I97" s="14"/>
      <c r="J97" s="14"/>
      <c r="K97" s="14"/>
      <c r="L97" s="14"/>
      <c r="M97" s="14"/>
      <c r="N97" s="15"/>
      <c r="O97" s="65"/>
      <c r="P97" s="66"/>
      <c r="Q97" s="66"/>
      <c r="R97" s="66"/>
      <c r="S97" s="66"/>
      <c r="T97" s="66"/>
      <c r="U97" s="67"/>
      <c r="V97" s="67">
        <f>1800000-1800000</f>
        <v>0</v>
      </c>
      <c r="W97" s="66">
        <v>2035000</v>
      </c>
      <c r="X97" s="60">
        <f t="shared" si="52"/>
        <v>2035000</v>
      </c>
      <c r="Z97" s="17">
        <f t="shared" si="49"/>
        <v>0</v>
      </c>
      <c r="AA97" s="17">
        <f t="shared" si="50"/>
        <v>2035000</v>
      </c>
      <c r="AB97" s="18">
        <f t="shared" si="51"/>
        <v>2035000</v>
      </c>
    </row>
    <row r="98" spans="1:28" ht="15" customHeight="1">
      <c r="A98" s="64" t="s">
        <v>102</v>
      </c>
      <c r="B98" s="17"/>
      <c r="C98" s="17"/>
      <c r="D98" s="17"/>
      <c r="E98" s="31"/>
      <c r="F98" s="14"/>
      <c r="G98" s="14"/>
      <c r="H98" s="14"/>
      <c r="I98" s="14"/>
      <c r="J98" s="14"/>
      <c r="K98" s="14"/>
      <c r="L98" s="14"/>
      <c r="M98" s="14"/>
      <c r="N98" s="15"/>
      <c r="O98" s="65"/>
      <c r="P98" s="66"/>
      <c r="Q98" s="66"/>
      <c r="R98" s="66"/>
      <c r="S98" s="66"/>
      <c r="T98" s="66"/>
      <c r="U98" s="67"/>
      <c r="V98" s="67"/>
      <c r="W98" s="66">
        <v>3500000</v>
      </c>
      <c r="X98" s="60">
        <f t="shared" si="52"/>
        <v>3500000</v>
      </c>
      <c r="Z98" s="17">
        <f t="shared" si="49"/>
        <v>0</v>
      </c>
      <c r="AA98" s="17">
        <f t="shared" si="50"/>
        <v>3500000</v>
      </c>
      <c r="AB98" s="18">
        <f t="shared" si="51"/>
        <v>3500000</v>
      </c>
    </row>
    <row r="99" spans="1:28" ht="15" customHeight="1">
      <c r="A99" s="64" t="s">
        <v>103</v>
      </c>
      <c r="B99" s="17"/>
      <c r="C99" s="17"/>
      <c r="D99" s="17"/>
      <c r="E99" s="31"/>
      <c r="F99" s="14"/>
      <c r="G99" s="14"/>
      <c r="H99" s="14"/>
      <c r="I99" s="14"/>
      <c r="J99" s="14"/>
      <c r="K99" s="14"/>
      <c r="L99" s="14"/>
      <c r="M99" s="14"/>
      <c r="N99" s="15"/>
      <c r="O99" s="65"/>
      <c r="P99" s="66"/>
      <c r="Q99" s="66"/>
      <c r="R99" s="66"/>
      <c r="S99" s="66"/>
      <c r="T99" s="66"/>
      <c r="U99" s="67"/>
      <c r="V99" s="67"/>
      <c r="W99" s="66">
        <v>3500000</v>
      </c>
      <c r="X99" s="60">
        <f t="shared" si="52"/>
        <v>3500000</v>
      </c>
      <c r="Z99" s="17">
        <f t="shared" si="49"/>
        <v>0</v>
      </c>
      <c r="AA99" s="17">
        <f t="shared" si="50"/>
        <v>3500000</v>
      </c>
      <c r="AB99" s="18">
        <f t="shared" si="51"/>
        <v>3500000</v>
      </c>
    </row>
    <row r="100" spans="1:28" ht="15" customHeight="1">
      <c r="A100" s="64" t="s">
        <v>104</v>
      </c>
      <c r="B100" s="17"/>
      <c r="C100" s="17"/>
      <c r="D100" s="17"/>
      <c r="E100" s="31"/>
      <c r="F100" s="14"/>
      <c r="G100" s="14"/>
      <c r="H100" s="14"/>
      <c r="I100" s="14"/>
      <c r="J100" s="14"/>
      <c r="K100" s="14"/>
      <c r="L100" s="14"/>
      <c r="M100" s="14"/>
      <c r="N100" s="15"/>
      <c r="O100" s="65"/>
      <c r="P100" s="66"/>
      <c r="Q100" s="66"/>
      <c r="R100" s="66"/>
      <c r="S100" s="66"/>
      <c r="T100" s="66"/>
      <c r="U100" s="67"/>
      <c r="V100" s="67"/>
      <c r="W100" s="66">
        <v>908526</v>
      </c>
      <c r="X100" s="60">
        <f t="shared" si="52"/>
        <v>908526</v>
      </c>
      <c r="Z100" s="17">
        <f t="shared" si="49"/>
        <v>0</v>
      </c>
      <c r="AA100" s="17">
        <f t="shared" si="50"/>
        <v>908526</v>
      </c>
      <c r="AB100" s="18">
        <f t="shared" si="51"/>
        <v>908526</v>
      </c>
    </row>
    <row r="101" spans="1:28" ht="15" customHeight="1">
      <c r="A101" s="64" t="s">
        <v>105</v>
      </c>
      <c r="B101" s="17"/>
      <c r="C101" s="17"/>
      <c r="D101" s="17"/>
      <c r="E101" s="31"/>
      <c r="F101" s="14"/>
      <c r="G101" s="14"/>
      <c r="H101" s="14"/>
      <c r="I101" s="14"/>
      <c r="J101" s="14"/>
      <c r="K101" s="14"/>
      <c r="L101" s="14"/>
      <c r="M101" s="14"/>
      <c r="N101" s="15"/>
      <c r="O101" s="65"/>
      <c r="P101" s="66"/>
      <c r="Q101" s="66"/>
      <c r="R101" s="66"/>
      <c r="S101" s="66"/>
      <c r="T101" s="66"/>
      <c r="U101" s="67"/>
      <c r="V101" s="67"/>
      <c r="W101" s="66">
        <v>2000000</v>
      </c>
      <c r="X101" s="60">
        <f t="shared" si="52"/>
        <v>2000000</v>
      </c>
      <c r="Z101" s="17">
        <f t="shared" si="49"/>
        <v>0</v>
      </c>
      <c r="AA101" s="17">
        <f t="shared" si="50"/>
        <v>2000000</v>
      </c>
      <c r="AB101" s="18">
        <f t="shared" si="51"/>
        <v>2000000</v>
      </c>
    </row>
    <row r="102" spans="1:28" ht="15" customHeight="1">
      <c r="A102" s="23" t="s">
        <v>106</v>
      </c>
      <c r="B102" s="17"/>
      <c r="C102" s="17"/>
      <c r="D102" s="17"/>
      <c r="E102" s="31"/>
      <c r="F102" s="31"/>
      <c r="G102" s="31"/>
      <c r="H102" s="31"/>
      <c r="I102" s="31"/>
      <c r="J102" s="31"/>
      <c r="K102" s="31"/>
      <c r="L102" s="31"/>
      <c r="M102" s="31"/>
      <c r="N102" s="30"/>
      <c r="O102" s="31"/>
      <c r="P102" s="31"/>
      <c r="Q102" s="31">
        <f>2352720</f>
        <v>2352720</v>
      </c>
      <c r="R102" s="31">
        <f>5000000</f>
        <v>5000000</v>
      </c>
      <c r="S102" s="31"/>
      <c r="T102" s="31"/>
      <c r="U102" s="30"/>
      <c r="V102" s="30"/>
      <c r="W102" s="31"/>
      <c r="X102" s="60">
        <f t="shared" si="52"/>
        <v>7352720</v>
      </c>
      <c r="Z102" s="17">
        <f t="shared" si="49"/>
        <v>7352720</v>
      </c>
      <c r="AA102" s="17">
        <f t="shared" si="50"/>
        <v>0</v>
      </c>
      <c r="AB102" s="18">
        <f t="shared" si="51"/>
        <v>7352720</v>
      </c>
    </row>
    <row r="103" spans="1:28" ht="15" customHeight="1">
      <c r="A103" s="61" t="s">
        <v>107</v>
      </c>
      <c r="B103" s="17"/>
      <c r="C103" s="17"/>
      <c r="D103" s="17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9"/>
      <c r="P103" s="39"/>
      <c r="Q103" s="39"/>
      <c r="R103" s="39"/>
      <c r="S103" s="39"/>
      <c r="T103" s="39"/>
      <c r="U103" s="40">
        <v>0</v>
      </c>
      <c r="V103" s="30">
        <f>1800000-1800000</f>
        <v>0</v>
      </c>
      <c r="W103" s="31">
        <v>2800000</v>
      </c>
      <c r="X103" s="60">
        <f t="shared" si="52"/>
        <v>2800000</v>
      </c>
      <c r="Z103" s="17">
        <f t="shared" si="49"/>
        <v>0</v>
      </c>
      <c r="AA103" s="17">
        <f t="shared" si="50"/>
        <v>2800000</v>
      </c>
      <c r="AB103" s="18">
        <f t="shared" si="51"/>
        <v>2800000</v>
      </c>
    </row>
    <row r="104" spans="1:28" ht="15" customHeight="1">
      <c r="A104" s="70" t="s">
        <v>108</v>
      </c>
      <c r="B104" s="17"/>
      <c r="C104" s="62"/>
      <c r="D104" s="17"/>
      <c r="E104" s="31"/>
      <c r="F104" s="14"/>
      <c r="G104" s="14"/>
      <c r="H104" s="14"/>
      <c r="I104" s="15"/>
      <c r="J104" s="14"/>
      <c r="K104" s="14"/>
      <c r="L104" s="14"/>
      <c r="M104" s="15"/>
      <c r="N104" s="15"/>
      <c r="O104" s="65"/>
      <c r="P104" s="66"/>
      <c r="Q104" s="66"/>
      <c r="R104" s="66"/>
      <c r="S104" s="66"/>
      <c r="T104" s="66">
        <v>2400000</v>
      </c>
      <c r="U104" s="67"/>
      <c r="V104" s="67"/>
      <c r="W104" s="66"/>
      <c r="X104" s="60">
        <f t="shared" si="52"/>
        <v>2400000</v>
      </c>
      <c r="Z104" s="17">
        <f t="shared" si="49"/>
        <v>2400000</v>
      </c>
      <c r="AA104" s="17">
        <f t="shared" si="50"/>
        <v>0</v>
      </c>
      <c r="AB104" s="18">
        <f t="shared" si="51"/>
        <v>2400000</v>
      </c>
    </row>
    <row r="105" spans="1:28" ht="15" customHeight="1">
      <c r="A105" s="64" t="s">
        <v>109</v>
      </c>
      <c r="B105" s="17"/>
      <c r="C105" s="17"/>
      <c r="D105" s="17"/>
      <c r="E105" s="31"/>
      <c r="F105" s="14"/>
      <c r="G105" s="14"/>
      <c r="H105" s="14"/>
      <c r="I105" s="14"/>
      <c r="J105" s="14"/>
      <c r="K105" s="14"/>
      <c r="L105" s="14"/>
      <c r="M105" s="14"/>
      <c r="N105" s="15"/>
      <c r="O105" s="65"/>
      <c r="P105" s="66"/>
      <c r="Q105" s="66"/>
      <c r="R105" s="66">
        <f>3150000</f>
        <v>3150000</v>
      </c>
      <c r="S105" s="66"/>
      <c r="T105" s="66"/>
      <c r="U105" s="67"/>
      <c r="V105" s="67"/>
      <c r="W105" s="66"/>
      <c r="X105" s="60">
        <f t="shared" si="52"/>
        <v>3150000</v>
      </c>
      <c r="Z105" s="17">
        <f t="shared" si="49"/>
        <v>3150000</v>
      </c>
      <c r="AA105" s="17">
        <f t="shared" si="50"/>
        <v>0</v>
      </c>
      <c r="AB105" s="18">
        <f t="shared" si="51"/>
        <v>3150000</v>
      </c>
    </row>
    <row r="106" spans="1:28" ht="15" customHeight="1">
      <c r="A106" s="70" t="s">
        <v>110</v>
      </c>
      <c r="B106" s="17"/>
      <c r="C106" s="62"/>
      <c r="D106" s="17"/>
      <c r="E106" s="31"/>
      <c r="F106" s="14"/>
      <c r="G106" s="14"/>
      <c r="H106" s="14"/>
      <c r="I106" s="15"/>
      <c r="J106" s="14"/>
      <c r="K106" s="14"/>
      <c r="L106" s="14"/>
      <c r="M106" s="15"/>
      <c r="N106" s="15"/>
      <c r="O106" s="65"/>
      <c r="P106" s="66"/>
      <c r="Q106" s="66"/>
      <c r="R106" s="66"/>
      <c r="S106" s="66"/>
      <c r="T106" s="66"/>
      <c r="U106" s="67">
        <f>8000000-4000000</f>
        <v>4000000</v>
      </c>
      <c r="V106" s="67"/>
      <c r="W106" s="66"/>
      <c r="X106" s="60">
        <f t="shared" si="52"/>
        <v>4000000</v>
      </c>
      <c r="Z106" s="17">
        <f t="shared" si="49"/>
        <v>4000000</v>
      </c>
      <c r="AA106" s="17">
        <f t="shared" si="50"/>
        <v>0</v>
      </c>
      <c r="AB106" s="18">
        <f t="shared" si="51"/>
        <v>4000000</v>
      </c>
    </row>
    <row r="107" spans="1:28" ht="15" customHeight="1">
      <c r="A107" s="70" t="s">
        <v>111</v>
      </c>
      <c r="B107" s="17"/>
      <c r="C107" s="62"/>
      <c r="D107" s="17"/>
      <c r="E107" s="31"/>
      <c r="F107" s="14"/>
      <c r="G107" s="14"/>
      <c r="H107" s="14"/>
      <c r="I107" s="15"/>
      <c r="J107" s="14"/>
      <c r="K107" s="14"/>
      <c r="L107" s="14"/>
      <c r="M107" s="15"/>
      <c r="N107" s="15"/>
      <c r="O107" s="65"/>
      <c r="P107" s="66"/>
      <c r="Q107" s="66"/>
      <c r="R107" s="66"/>
      <c r="S107" s="66"/>
      <c r="T107" s="66"/>
      <c r="U107" s="67">
        <v>2400000</v>
      </c>
      <c r="V107" s="67"/>
      <c r="W107" s="66"/>
      <c r="X107" s="60">
        <f t="shared" si="52"/>
        <v>2400000</v>
      </c>
      <c r="Z107" s="17">
        <f t="shared" si="49"/>
        <v>2400000</v>
      </c>
      <c r="AA107" s="17">
        <f t="shared" si="50"/>
        <v>0</v>
      </c>
      <c r="AB107" s="18">
        <f t="shared" si="51"/>
        <v>2400000</v>
      </c>
    </row>
    <row r="108" spans="1:28" ht="15" customHeight="1">
      <c r="A108" s="70" t="s">
        <v>112</v>
      </c>
      <c r="B108" s="17"/>
      <c r="C108" s="62"/>
      <c r="D108" s="17"/>
      <c r="E108" s="31"/>
      <c r="F108" s="14"/>
      <c r="G108" s="14"/>
      <c r="H108" s="14"/>
      <c r="I108" s="15"/>
      <c r="J108" s="14"/>
      <c r="K108" s="14"/>
      <c r="L108" s="14"/>
      <c r="M108" s="15"/>
      <c r="N108" s="15"/>
      <c r="O108" s="65"/>
      <c r="P108" s="66"/>
      <c r="Q108" s="66"/>
      <c r="R108" s="66"/>
      <c r="S108" s="66"/>
      <c r="T108" s="66"/>
      <c r="U108" s="67">
        <v>1500000</v>
      </c>
      <c r="V108" s="67"/>
      <c r="W108" s="66"/>
      <c r="X108" s="60">
        <f t="shared" si="52"/>
        <v>1500000</v>
      </c>
      <c r="Z108" s="17">
        <f t="shared" si="49"/>
        <v>1500000</v>
      </c>
      <c r="AA108" s="17">
        <f t="shared" si="50"/>
        <v>0</v>
      </c>
      <c r="AB108" s="18">
        <f t="shared" si="51"/>
        <v>1500000</v>
      </c>
    </row>
    <row r="109" spans="1:28" ht="15" customHeight="1">
      <c r="A109" s="70" t="s">
        <v>113</v>
      </c>
      <c r="B109" s="17"/>
      <c r="C109" s="62"/>
      <c r="D109" s="17"/>
      <c r="E109" s="31"/>
      <c r="F109" s="14"/>
      <c r="G109" s="14"/>
      <c r="H109" s="14"/>
      <c r="I109" s="15"/>
      <c r="J109" s="14"/>
      <c r="K109" s="14"/>
      <c r="L109" s="14"/>
      <c r="M109" s="15"/>
      <c r="N109" s="15"/>
      <c r="O109" s="65"/>
      <c r="P109" s="66"/>
      <c r="Q109" s="66"/>
      <c r="R109" s="66"/>
      <c r="S109" s="66">
        <v>3715000</v>
      </c>
      <c r="T109" s="66"/>
      <c r="U109" s="67"/>
      <c r="V109" s="67"/>
      <c r="W109" s="66"/>
      <c r="X109" s="60">
        <f t="shared" si="52"/>
        <v>3715000</v>
      </c>
      <c r="Z109" s="17">
        <f t="shared" si="49"/>
        <v>3715000</v>
      </c>
      <c r="AA109" s="17">
        <f t="shared" si="50"/>
        <v>0</v>
      </c>
      <c r="AB109" s="18">
        <f t="shared" si="51"/>
        <v>3715000</v>
      </c>
    </row>
    <row r="110" spans="1:28" ht="15" customHeight="1">
      <c r="A110" s="70" t="s">
        <v>114</v>
      </c>
      <c r="B110" s="17"/>
      <c r="C110" s="62"/>
      <c r="D110" s="17"/>
      <c r="E110" s="31"/>
      <c r="F110" s="14"/>
      <c r="G110" s="14"/>
      <c r="H110" s="14"/>
      <c r="I110" s="15"/>
      <c r="J110" s="14"/>
      <c r="K110" s="14"/>
      <c r="L110" s="14"/>
      <c r="M110" s="15"/>
      <c r="N110" s="15"/>
      <c r="O110" s="65"/>
      <c r="P110" s="66"/>
      <c r="Q110" s="66"/>
      <c r="R110" s="66"/>
      <c r="S110" s="66"/>
      <c r="T110" s="66"/>
      <c r="U110" s="67">
        <v>427000</v>
      </c>
      <c r="V110" s="67">
        <f>600000-427000</f>
        <v>173000</v>
      </c>
      <c r="W110" s="66"/>
      <c r="X110" s="60">
        <f t="shared" si="52"/>
        <v>600000</v>
      </c>
      <c r="Z110" s="17">
        <f t="shared" si="49"/>
        <v>600000</v>
      </c>
      <c r="AA110" s="17">
        <f t="shared" si="50"/>
        <v>0</v>
      </c>
      <c r="AB110" s="18">
        <f t="shared" si="51"/>
        <v>600000</v>
      </c>
    </row>
    <row r="111" spans="1:28" ht="15" customHeight="1">
      <c r="A111" s="70" t="s">
        <v>115</v>
      </c>
      <c r="B111" s="17"/>
      <c r="C111" s="62"/>
      <c r="D111" s="17"/>
      <c r="E111" s="31"/>
      <c r="F111" s="14"/>
      <c r="G111" s="14"/>
      <c r="H111" s="14"/>
      <c r="I111" s="15"/>
      <c r="J111" s="14"/>
      <c r="K111" s="14"/>
      <c r="L111" s="14"/>
      <c r="M111" s="15"/>
      <c r="N111" s="15"/>
      <c r="O111" s="65"/>
      <c r="P111" s="66"/>
      <c r="Q111" s="66"/>
      <c r="R111" s="66"/>
      <c r="S111" s="66"/>
      <c r="T111" s="66"/>
      <c r="U111" s="67">
        <v>500000</v>
      </c>
      <c r="V111" s="67"/>
      <c r="W111" s="66"/>
      <c r="X111" s="60">
        <f t="shared" si="52"/>
        <v>500000</v>
      </c>
      <c r="Z111" s="17">
        <f t="shared" si="49"/>
        <v>500000</v>
      </c>
      <c r="AA111" s="17">
        <f t="shared" si="50"/>
        <v>0</v>
      </c>
      <c r="AB111" s="18">
        <f t="shared" si="51"/>
        <v>500000</v>
      </c>
    </row>
    <row r="112" spans="1:28" ht="15" customHeight="1">
      <c r="A112" s="70" t="s">
        <v>116</v>
      </c>
      <c r="B112" s="17"/>
      <c r="C112" s="62"/>
      <c r="D112" s="17"/>
      <c r="E112" s="31"/>
      <c r="F112" s="14"/>
      <c r="G112" s="14"/>
      <c r="H112" s="14"/>
      <c r="I112" s="15"/>
      <c r="J112" s="14"/>
      <c r="K112" s="14"/>
      <c r="L112" s="14"/>
      <c r="M112" s="15"/>
      <c r="N112" s="15"/>
      <c r="O112" s="65"/>
      <c r="P112" s="66"/>
      <c r="Q112" s="66"/>
      <c r="R112" s="66"/>
      <c r="S112" s="66"/>
      <c r="T112" s="66"/>
      <c r="U112" s="67">
        <v>150000</v>
      </c>
      <c r="V112" s="67"/>
      <c r="W112" s="66"/>
      <c r="X112" s="60">
        <f t="shared" si="52"/>
        <v>150000</v>
      </c>
      <c r="Z112" s="17">
        <f t="shared" si="49"/>
        <v>150000</v>
      </c>
      <c r="AA112" s="17">
        <f t="shared" si="50"/>
        <v>0</v>
      </c>
      <c r="AB112" s="18">
        <f t="shared" si="51"/>
        <v>150000</v>
      </c>
    </row>
    <row r="113" spans="1:29" ht="15" customHeight="1">
      <c r="A113" s="61" t="s">
        <v>117</v>
      </c>
      <c r="B113" s="17"/>
      <c r="C113" s="62"/>
      <c r="D113" s="17"/>
      <c r="E113" s="31"/>
      <c r="F113" s="31"/>
      <c r="G113" s="31"/>
      <c r="H113" s="31"/>
      <c r="I113" s="31"/>
      <c r="J113" s="31"/>
      <c r="K113" s="31"/>
      <c r="L113" s="31"/>
      <c r="M113" s="30"/>
      <c r="N113" s="30"/>
      <c r="O113" s="31"/>
      <c r="P113" s="31"/>
      <c r="Q113" s="31"/>
      <c r="R113" s="31"/>
      <c r="S113" s="31">
        <v>0</v>
      </c>
      <c r="T113" s="31">
        <v>3500000</v>
      </c>
      <c r="U113" s="30"/>
      <c r="V113" s="30"/>
      <c r="W113" s="31"/>
      <c r="X113" s="60">
        <f t="shared" si="52"/>
        <v>3500000</v>
      </c>
      <c r="Z113" s="17">
        <f t="shared" si="49"/>
        <v>3500000</v>
      </c>
      <c r="AA113" s="17">
        <f t="shared" si="50"/>
        <v>0</v>
      </c>
      <c r="AB113" s="18">
        <f t="shared" si="51"/>
        <v>3500000</v>
      </c>
    </row>
    <row r="114" spans="1:29" ht="15" customHeight="1">
      <c r="A114" s="19" t="s">
        <v>118</v>
      </c>
      <c r="B114" s="17"/>
      <c r="C114" s="62"/>
      <c r="D114" s="17"/>
      <c r="E114" s="31"/>
      <c r="F114" s="31"/>
      <c r="G114" s="31"/>
      <c r="H114" s="31"/>
      <c r="I114" s="31"/>
      <c r="J114" s="31"/>
      <c r="K114" s="31"/>
      <c r="L114" s="31"/>
      <c r="M114" s="30"/>
      <c r="N114" s="30"/>
      <c r="O114" s="39"/>
      <c r="P114" s="39"/>
      <c r="Q114" s="39"/>
      <c r="R114" s="39"/>
      <c r="S114" s="39"/>
      <c r="T114" s="39"/>
      <c r="U114" s="40">
        <f>12000000-5000000</f>
        <v>7000000</v>
      </c>
      <c r="V114" s="30"/>
      <c r="W114" s="39"/>
      <c r="X114" s="60">
        <f t="shared" si="52"/>
        <v>7000000</v>
      </c>
      <c r="Z114" s="17">
        <f t="shared" si="49"/>
        <v>7000000</v>
      </c>
      <c r="AA114" s="17">
        <f t="shared" si="50"/>
        <v>0</v>
      </c>
      <c r="AB114" s="18">
        <f t="shared" si="51"/>
        <v>7000000</v>
      </c>
    </row>
    <row r="115" spans="1:29" ht="15" customHeight="1">
      <c r="A115" s="37" t="s">
        <v>119</v>
      </c>
      <c r="B115" s="38"/>
      <c r="C115" s="38"/>
      <c r="D115" s="38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40">
        <v>0</v>
      </c>
      <c r="V115" s="40">
        <f>1200000-400000-400000</f>
        <v>400000</v>
      </c>
      <c r="W115" s="31"/>
      <c r="X115" s="60">
        <f t="shared" si="52"/>
        <v>400000</v>
      </c>
      <c r="Z115" s="17">
        <f t="shared" si="49"/>
        <v>400000</v>
      </c>
      <c r="AA115" s="17">
        <f t="shared" si="50"/>
        <v>0</v>
      </c>
      <c r="AB115" s="18">
        <f t="shared" si="51"/>
        <v>400000</v>
      </c>
    </row>
    <row r="116" spans="1:29" ht="15" customHeight="1">
      <c r="A116" s="37" t="s">
        <v>120</v>
      </c>
      <c r="B116" s="38"/>
      <c r="C116" s="38"/>
      <c r="D116" s="38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40"/>
      <c r="V116" s="40"/>
      <c r="W116" s="31">
        <v>2500000</v>
      </c>
      <c r="X116" s="60">
        <f t="shared" si="52"/>
        <v>2500000</v>
      </c>
      <c r="Z116" s="17">
        <f t="shared" si="49"/>
        <v>0</v>
      </c>
      <c r="AA116" s="17">
        <f t="shared" si="50"/>
        <v>2500000</v>
      </c>
      <c r="AB116" s="18">
        <f t="shared" si="51"/>
        <v>2500000</v>
      </c>
    </row>
    <row r="117" spans="1:29" ht="15.75" customHeight="1">
      <c r="A117" s="23" t="s">
        <v>121</v>
      </c>
      <c r="B117" s="17"/>
      <c r="C117" s="17"/>
      <c r="D117" s="17"/>
      <c r="E117" s="31"/>
      <c r="F117" s="31"/>
      <c r="G117" s="31"/>
      <c r="H117" s="31"/>
      <c r="I117" s="31"/>
      <c r="J117" s="31"/>
      <c r="K117" s="31"/>
      <c r="L117" s="31"/>
      <c r="M117" s="31">
        <v>0</v>
      </c>
      <c r="N117" s="31"/>
      <c r="O117" s="31"/>
      <c r="P117" s="31"/>
      <c r="Q117" s="31">
        <v>10500000</v>
      </c>
      <c r="R117" s="31">
        <f>3600000</f>
        <v>3600000</v>
      </c>
      <c r="S117" s="31"/>
      <c r="T117" s="31"/>
      <c r="U117" s="31"/>
      <c r="V117" s="31">
        <v>0</v>
      </c>
      <c r="W117" s="31"/>
      <c r="X117" s="60">
        <f t="shared" si="52"/>
        <v>14100000</v>
      </c>
      <c r="Z117" s="17">
        <f t="shared" si="49"/>
        <v>14100000</v>
      </c>
      <c r="AA117" s="17">
        <f t="shared" si="50"/>
        <v>0</v>
      </c>
      <c r="AB117" s="18">
        <f t="shared" si="51"/>
        <v>14100000</v>
      </c>
    </row>
    <row r="118" spans="1:29" ht="15.75" customHeight="1" thickBot="1">
      <c r="A118" s="217" t="s">
        <v>122</v>
      </c>
      <c r="B118" s="218">
        <f t="shared" ref="B118:AB118" si="53">SUM(B76:B117)</f>
        <v>0</v>
      </c>
      <c r="C118" s="218">
        <f t="shared" si="53"/>
        <v>0</v>
      </c>
      <c r="D118" s="218">
        <f t="shared" si="53"/>
        <v>0</v>
      </c>
      <c r="E118" s="218">
        <f t="shared" si="53"/>
        <v>0</v>
      </c>
      <c r="F118" s="218">
        <f t="shared" si="53"/>
        <v>0</v>
      </c>
      <c r="G118" s="218">
        <f t="shared" si="53"/>
        <v>0</v>
      </c>
      <c r="H118" s="218">
        <f t="shared" si="53"/>
        <v>0</v>
      </c>
      <c r="I118" s="218">
        <f t="shared" si="53"/>
        <v>0</v>
      </c>
      <c r="J118" s="218">
        <f t="shared" si="53"/>
        <v>0</v>
      </c>
      <c r="K118" s="218">
        <f t="shared" si="53"/>
        <v>0</v>
      </c>
      <c r="L118" s="218">
        <f t="shared" si="53"/>
        <v>0</v>
      </c>
      <c r="M118" s="219">
        <f t="shared" si="53"/>
        <v>0</v>
      </c>
      <c r="N118" s="220">
        <f t="shared" si="53"/>
        <v>0</v>
      </c>
      <c r="O118" s="221">
        <f t="shared" si="53"/>
        <v>0</v>
      </c>
      <c r="P118" s="221">
        <f t="shared" si="53"/>
        <v>0</v>
      </c>
      <c r="Q118" s="221">
        <f t="shared" si="53"/>
        <v>14352720</v>
      </c>
      <c r="R118" s="221">
        <f t="shared" si="53"/>
        <v>25482000</v>
      </c>
      <c r="S118" s="221">
        <f t="shared" si="53"/>
        <v>25175000</v>
      </c>
      <c r="T118" s="221">
        <f t="shared" si="53"/>
        <v>21605000</v>
      </c>
      <c r="U118" s="221">
        <f t="shared" si="53"/>
        <v>21977000</v>
      </c>
      <c r="V118" s="222">
        <f t="shared" si="53"/>
        <v>4573000</v>
      </c>
      <c r="W118" s="222">
        <f t="shared" si="53"/>
        <v>24043526</v>
      </c>
      <c r="X118" s="223">
        <f t="shared" si="53"/>
        <v>137208246</v>
      </c>
      <c r="Y118" s="224">
        <f t="shared" si="53"/>
        <v>0</v>
      </c>
      <c r="Z118" s="224">
        <f t="shared" si="53"/>
        <v>113164720</v>
      </c>
      <c r="AA118" s="224">
        <f t="shared" si="53"/>
        <v>24043526</v>
      </c>
      <c r="AB118" s="224">
        <f t="shared" si="53"/>
        <v>137208246</v>
      </c>
      <c r="AC118" s="68">
        <f>+AB118-X118</f>
        <v>0</v>
      </c>
    </row>
    <row r="119" spans="1:29">
      <c r="A119" s="127" t="s">
        <v>123</v>
      </c>
      <c r="B119" s="47"/>
      <c r="C119" s="47"/>
      <c r="D119" s="47"/>
      <c r="E119" s="181"/>
      <c r="F119" s="181"/>
      <c r="G119" s="181"/>
      <c r="H119" s="181"/>
      <c r="I119" s="181"/>
      <c r="J119" s="225"/>
      <c r="K119" s="225"/>
      <c r="L119" s="225"/>
      <c r="M119" s="226"/>
      <c r="N119" s="227"/>
      <c r="O119" s="146"/>
      <c r="P119" s="146"/>
      <c r="Q119" s="146"/>
      <c r="R119" s="146"/>
      <c r="S119" s="146"/>
      <c r="T119" s="146"/>
      <c r="U119" s="145"/>
      <c r="V119" s="145"/>
      <c r="W119" s="86"/>
      <c r="X119" s="94">
        <f>SUM(B119:R119)</f>
        <v>0</v>
      </c>
      <c r="Y119" s="94">
        <f t="shared" ref="Y119:AB119" si="54">SUM(C119:S119)</f>
        <v>0</v>
      </c>
      <c r="Z119" s="94">
        <f t="shared" si="54"/>
        <v>0</v>
      </c>
      <c r="AA119" s="94">
        <f t="shared" si="54"/>
        <v>0</v>
      </c>
      <c r="AB119" s="94">
        <f t="shared" si="54"/>
        <v>0</v>
      </c>
    </row>
    <row r="120" spans="1:29" ht="15" customHeight="1">
      <c r="A120" s="71" t="s">
        <v>124</v>
      </c>
      <c r="B120" s="17"/>
      <c r="C120" s="17"/>
      <c r="D120" s="17"/>
      <c r="E120" s="31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>
        <f>4600000</f>
        <v>4600000</v>
      </c>
      <c r="S120" s="72">
        <v>0</v>
      </c>
      <c r="T120" s="72">
        <v>0</v>
      </c>
      <c r="U120" s="73"/>
      <c r="V120" s="73"/>
      <c r="W120" s="72"/>
      <c r="X120" s="74">
        <f t="shared" ref="X120:X139" si="55">SUM(B120:W120)</f>
        <v>4600000</v>
      </c>
      <c r="Z120" s="17">
        <f>SUM(B120:V120)</f>
        <v>4600000</v>
      </c>
      <c r="AA120" s="17">
        <f t="shared" ref="AA120:AA139" si="56">+W120</f>
        <v>0</v>
      </c>
      <c r="AB120" s="18">
        <f>+Z120+AA120</f>
        <v>4600000</v>
      </c>
    </row>
    <row r="121" spans="1:29" ht="15" customHeight="1">
      <c r="A121" s="71" t="s">
        <v>125</v>
      </c>
      <c r="B121" s="17"/>
      <c r="C121" s="17"/>
      <c r="D121" s="17"/>
      <c r="E121" s="31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5">
        <v>80000</v>
      </c>
      <c r="V121" s="15"/>
      <c r="W121" s="14"/>
      <c r="X121" s="74">
        <f t="shared" si="55"/>
        <v>80000</v>
      </c>
      <c r="Z121" s="17">
        <f t="shared" ref="Z121:Z139" si="57">SUM(B121:V121)</f>
        <v>80000</v>
      </c>
      <c r="AA121" s="17">
        <f t="shared" si="56"/>
        <v>0</v>
      </c>
      <c r="AB121" s="18">
        <f t="shared" ref="AB121:AB139" si="58">+Z121+AA121</f>
        <v>80000</v>
      </c>
    </row>
    <row r="122" spans="1:29" ht="15" customHeight="1">
      <c r="A122" s="71" t="s">
        <v>126</v>
      </c>
      <c r="B122" s="17"/>
      <c r="C122" s="17"/>
      <c r="D122" s="17"/>
      <c r="E122" s="31"/>
      <c r="F122" s="14"/>
      <c r="G122" s="14"/>
      <c r="H122" s="14"/>
      <c r="I122" s="14"/>
      <c r="J122" s="14"/>
      <c r="K122" s="14"/>
      <c r="L122" s="14"/>
      <c r="M122" s="14"/>
      <c r="N122" s="14"/>
      <c r="O122" s="65"/>
      <c r="P122" s="66"/>
      <c r="Q122" s="66"/>
      <c r="R122" s="66">
        <f>2865000-2865000</f>
        <v>0</v>
      </c>
      <c r="S122" s="66">
        <f>3200000-800000-2400000</f>
        <v>0</v>
      </c>
      <c r="T122" s="66">
        <v>0</v>
      </c>
      <c r="U122" s="67"/>
      <c r="V122" s="67">
        <v>0</v>
      </c>
      <c r="W122" s="66">
        <v>1400000</v>
      </c>
      <c r="X122" s="74">
        <f t="shared" si="55"/>
        <v>1400000</v>
      </c>
      <c r="Z122" s="17">
        <f t="shared" si="57"/>
        <v>0</v>
      </c>
      <c r="AA122" s="17">
        <f t="shared" si="56"/>
        <v>1400000</v>
      </c>
      <c r="AB122" s="18">
        <f t="shared" si="58"/>
        <v>1400000</v>
      </c>
    </row>
    <row r="123" spans="1:29" ht="15" customHeight="1">
      <c r="A123" s="75" t="s">
        <v>127</v>
      </c>
      <c r="B123" s="17"/>
      <c r="C123" s="17"/>
      <c r="D123" s="17"/>
      <c r="E123" s="31"/>
      <c r="F123" s="14"/>
      <c r="G123" s="14"/>
      <c r="H123" s="14"/>
      <c r="I123" s="14"/>
      <c r="J123" s="14"/>
      <c r="K123" s="14"/>
      <c r="L123" s="14"/>
      <c r="M123" s="14"/>
      <c r="N123" s="14"/>
      <c r="O123" s="65"/>
      <c r="P123" s="66"/>
      <c r="Q123" s="66"/>
      <c r="R123" s="66"/>
      <c r="S123" s="66">
        <f>6000000</f>
        <v>6000000</v>
      </c>
      <c r="T123" s="66">
        <v>0</v>
      </c>
      <c r="U123" s="67"/>
      <c r="V123" s="67"/>
      <c r="W123" s="66"/>
      <c r="X123" s="74">
        <f t="shared" si="55"/>
        <v>6000000</v>
      </c>
      <c r="Z123" s="17">
        <f t="shared" si="57"/>
        <v>6000000</v>
      </c>
      <c r="AA123" s="17">
        <f t="shared" si="56"/>
        <v>0</v>
      </c>
      <c r="AB123" s="18">
        <f t="shared" si="58"/>
        <v>6000000</v>
      </c>
    </row>
    <row r="124" spans="1:29" ht="15" customHeight="1">
      <c r="A124" s="75" t="s">
        <v>128</v>
      </c>
      <c r="B124" s="17"/>
      <c r="C124" s="17"/>
      <c r="D124" s="17"/>
      <c r="E124" s="31"/>
      <c r="F124" s="14"/>
      <c r="G124" s="14"/>
      <c r="H124" s="14"/>
      <c r="I124" s="14"/>
      <c r="J124" s="14"/>
      <c r="K124" s="14"/>
      <c r="L124" s="14"/>
      <c r="M124" s="14"/>
      <c r="N124" s="14"/>
      <c r="O124" s="65"/>
      <c r="P124" s="66"/>
      <c r="Q124" s="66"/>
      <c r="R124" s="66"/>
      <c r="S124" s="66"/>
      <c r="T124" s="76">
        <v>0</v>
      </c>
      <c r="U124" s="67">
        <f>900000+900000+900000</f>
        <v>2700000</v>
      </c>
      <c r="V124" s="67">
        <v>0</v>
      </c>
      <c r="W124" s="66">
        <v>1000000</v>
      </c>
      <c r="X124" s="74">
        <f t="shared" si="55"/>
        <v>3700000</v>
      </c>
      <c r="Z124" s="17">
        <f t="shared" si="57"/>
        <v>2700000</v>
      </c>
      <c r="AA124" s="17">
        <f t="shared" si="56"/>
        <v>1000000</v>
      </c>
      <c r="AB124" s="18">
        <f t="shared" si="58"/>
        <v>3700000</v>
      </c>
    </row>
    <row r="125" spans="1:29" ht="15" customHeight="1">
      <c r="A125" s="75" t="s">
        <v>129</v>
      </c>
      <c r="B125" s="17"/>
      <c r="C125" s="17"/>
      <c r="D125" s="17"/>
      <c r="E125" s="31"/>
      <c r="F125" s="14"/>
      <c r="G125" s="14"/>
      <c r="H125" s="14"/>
      <c r="I125" s="14"/>
      <c r="J125" s="14"/>
      <c r="K125" s="14"/>
      <c r="L125" s="14"/>
      <c r="M125" s="14"/>
      <c r="N125" s="14"/>
      <c r="O125" s="65"/>
      <c r="P125" s="66"/>
      <c r="Q125" s="66"/>
      <c r="R125" s="66"/>
      <c r="S125" s="66"/>
      <c r="T125" s="66">
        <v>0</v>
      </c>
      <c r="U125" s="67"/>
      <c r="V125" s="67"/>
      <c r="W125" s="66"/>
      <c r="X125" s="74">
        <f t="shared" si="55"/>
        <v>0</v>
      </c>
      <c r="Z125" s="17">
        <f t="shared" si="57"/>
        <v>0</v>
      </c>
      <c r="AA125" s="17">
        <f t="shared" si="56"/>
        <v>0</v>
      </c>
      <c r="AB125" s="18">
        <f t="shared" si="58"/>
        <v>0</v>
      </c>
    </row>
    <row r="126" spans="1:29" ht="15" customHeight="1">
      <c r="A126" s="75" t="s">
        <v>130</v>
      </c>
      <c r="B126" s="17"/>
      <c r="C126" s="17"/>
      <c r="D126" s="17"/>
      <c r="E126" s="31"/>
      <c r="F126" s="14"/>
      <c r="G126" s="14"/>
      <c r="H126" s="14"/>
      <c r="I126" s="14"/>
      <c r="J126" s="14"/>
      <c r="K126" s="14"/>
      <c r="L126" s="14"/>
      <c r="M126" s="14"/>
      <c r="N126" s="14"/>
      <c r="O126" s="65"/>
      <c r="P126" s="66"/>
      <c r="Q126" s="66"/>
      <c r="R126" s="66"/>
      <c r="S126" s="66">
        <f>2400000-800000-1600000</f>
        <v>0</v>
      </c>
      <c r="T126" s="66">
        <f>5712000-1600000-4112000</f>
        <v>0</v>
      </c>
      <c r="U126" s="30">
        <f>800000*2+800000*4-1600000-3200000</f>
        <v>0</v>
      </c>
      <c r="V126" s="30">
        <v>0</v>
      </c>
      <c r="W126" s="31">
        <v>1250000</v>
      </c>
      <c r="X126" s="74">
        <f t="shared" si="55"/>
        <v>1250000</v>
      </c>
      <c r="Z126" s="17">
        <f t="shared" si="57"/>
        <v>0</v>
      </c>
      <c r="AA126" s="17">
        <f t="shared" si="56"/>
        <v>1250000</v>
      </c>
      <c r="AB126" s="18">
        <f t="shared" si="58"/>
        <v>1250000</v>
      </c>
    </row>
    <row r="127" spans="1:29" ht="15" customHeight="1">
      <c r="A127" s="75" t="s">
        <v>131</v>
      </c>
      <c r="B127" s="17"/>
      <c r="C127" s="17"/>
      <c r="D127" s="17"/>
      <c r="E127" s="31"/>
      <c r="F127" s="14"/>
      <c r="G127" s="14"/>
      <c r="H127" s="14"/>
      <c r="I127" s="14"/>
      <c r="J127" s="14"/>
      <c r="K127" s="14"/>
      <c r="L127" s="14"/>
      <c r="M127" s="14"/>
      <c r="N127" s="14"/>
      <c r="O127" s="65"/>
      <c r="P127" s="66"/>
      <c r="Q127" s="66"/>
      <c r="R127" s="66"/>
      <c r="S127" s="66"/>
      <c r="T127" s="66"/>
      <c r="U127" s="67"/>
      <c r="V127" s="67"/>
      <c r="W127" s="66">
        <v>1000000</v>
      </c>
      <c r="X127" s="74">
        <f t="shared" si="55"/>
        <v>1000000</v>
      </c>
      <c r="Z127" s="17">
        <f t="shared" si="57"/>
        <v>0</v>
      </c>
      <c r="AA127" s="17">
        <f t="shared" si="56"/>
        <v>1000000</v>
      </c>
      <c r="AB127" s="18">
        <f t="shared" si="58"/>
        <v>1000000</v>
      </c>
    </row>
    <row r="128" spans="1:29" ht="15" customHeight="1">
      <c r="A128" s="75" t="s">
        <v>132</v>
      </c>
      <c r="B128" s="17"/>
      <c r="C128" s="17"/>
      <c r="D128" s="17"/>
      <c r="E128" s="31"/>
      <c r="F128" s="14"/>
      <c r="G128" s="14"/>
      <c r="H128" s="14"/>
      <c r="I128" s="14"/>
      <c r="J128" s="14"/>
      <c r="K128" s="14"/>
      <c r="L128" s="14"/>
      <c r="M128" s="14"/>
      <c r="N128" s="14"/>
      <c r="O128" s="65"/>
      <c r="P128" s="66"/>
      <c r="Q128" s="66"/>
      <c r="R128" s="66"/>
      <c r="S128" s="66"/>
      <c r="T128" s="66"/>
      <c r="U128" s="67"/>
      <c r="V128" s="67"/>
      <c r="W128" s="66">
        <v>1500000</v>
      </c>
      <c r="X128" s="74">
        <f t="shared" si="55"/>
        <v>1500000</v>
      </c>
      <c r="Z128" s="17">
        <f t="shared" si="57"/>
        <v>0</v>
      </c>
      <c r="AA128" s="17">
        <f t="shared" si="56"/>
        <v>1500000</v>
      </c>
      <c r="AB128" s="18">
        <f t="shared" si="58"/>
        <v>1500000</v>
      </c>
    </row>
    <row r="129" spans="1:28" ht="15" customHeight="1">
      <c r="A129" s="77" t="s">
        <v>133</v>
      </c>
      <c r="B129" s="17"/>
      <c r="C129" s="17"/>
      <c r="D129" s="17"/>
      <c r="E129" s="31"/>
      <c r="F129" s="14"/>
      <c r="G129" s="14"/>
      <c r="H129" s="14"/>
      <c r="I129" s="14"/>
      <c r="J129" s="14"/>
      <c r="K129" s="14"/>
      <c r="L129" s="14"/>
      <c r="M129" s="14"/>
      <c r="N129" s="78"/>
      <c r="O129" s="78"/>
      <c r="P129" s="78"/>
      <c r="Q129" s="78">
        <v>0</v>
      </c>
      <c r="R129" s="78">
        <f>876000*3+350000+876000-1628000</f>
        <v>2226000</v>
      </c>
      <c r="S129" s="78">
        <v>0</v>
      </c>
      <c r="T129" s="78">
        <v>0</v>
      </c>
      <c r="U129" s="79"/>
      <c r="V129" s="79"/>
      <c r="W129" s="78"/>
      <c r="X129" s="74">
        <f t="shared" si="55"/>
        <v>2226000</v>
      </c>
      <c r="Z129" s="17">
        <f t="shared" si="57"/>
        <v>2226000</v>
      </c>
      <c r="AA129" s="17">
        <f t="shared" si="56"/>
        <v>0</v>
      </c>
      <c r="AB129" s="18">
        <f t="shared" si="58"/>
        <v>2226000</v>
      </c>
    </row>
    <row r="130" spans="1:28" ht="15" customHeight="1">
      <c r="A130" s="80" t="s">
        <v>134</v>
      </c>
      <c r="B130" s="17"/>
      <c r="C130" s="17"/>
      <c r="D130" s="17"/>
      <c r="E130" s="31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>
        <v>1486000</v>
      </c>
      <c r="S130" s="14">
        <f>2400000-800000</f>
        <v>1600000</v>
      </c>
      <c r="T130" s="14">
        <f>856000*2+2400000</f>
        <v>4112000</v>
      </c>
      <c r="U130" s="30">
        <f>800000*4-800000-800000</f>
        <v>1600000</v>
      </c>
      <c r="V130" s="30">
        <v>0</v>
      </c>
      <c r="W130" s="31">
        <f>2000000/2</f>
        <v>1000000</v>
      </c>
      <c r="X130" s="74">
        <f t="shared" si="55"/>
        <v>9798000</v>
      </c>
      <c r="Z130" s="17">
        <f t="shared" si="57"/>
        <v>8798000</v>
      </c>
      <c r="AA130" s="17">
        <f t="shared" si="56"/>
        <v>1000000</v>
      </c>
      <c r="AB130" s="18">
        <f t="shared" si="58"/>
        <v>9798000</v>
      </c>
    </row>
    <row r="131" spans="1:28" ht="15" customHeight="1">
      <c r="A131" s="81" t="s">
        <v>135</v>
      </c>
      <c r="B131" s="17"/>
      <c r="C131" s="17"/>
      <c r="D131" s="17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>
        <f>1700000-1700000</f>
        <v>0</v>
      </c>
      <c r="S131" s="31"/>
      <c r="T131" s="31">
        <f>2000000-2000000</f>
        <v>0</v>
      </c>
      <c r="U131" s="31"/>
      <c r="V131" s="31">
        <f>206000-206000</f>
        <v>0</v>
      </c>
      <c r="W131" s="31">
        <v>2000000</v>
      </c>
      <c r="X131" s="74">
        <f t="shared" si="55"/>
        <v>2000000</v>
      </c>
      <c r="Z131" s="17">
        <f t="shared" si="57"/>
        <v>0</v>
      </c>
      <c r="AA131" s="17">
        <f t="shared" si="56"/>
        <v>2000000</v>
      </c>
      <c r="AB131" s="18">
        <f t="shared" si="58"/>
        <v>2000000</v>
      </c>
    </row>
    <row r="132" spans="1:28" ht="15" customHeight="1">
      <c r="A132" s="81" t="s">
        <v>136</v>
      </c>
      <c r="B132" s="17"/>
      <c r="C132" s="17"/>
      <c r="D132" s="17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>
        <f>3000000/3</f>
        <v>1000000</v>
      </c>
      <c r="X132" s="74">
        <f t="shared" si="55"/>
        <v>1000000</v>
      </c>
      <c r="Z132" s="17">
        <f t="shared" si="57"/>
        <v>0</v>
      </c>
      <c r="AA132" s="17">
        <f t="shared" si="56"/>
        <v>1000000</v>
      </c>
      <c r="AB132" s="18">
        <f t="shared" si="58"/>
        <v>1000000</v>
      </c>
    </row>
    <row r="133" spans="1:28" ht="15" customHeight="1">
      <c r="A133" s="81" t="s">
        <v>137</v>
      </c>
      <c r="B133" s="17"/>
      <c r="C133" s="17"/>
      <c r="D133" s="17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>
        <f>3000000/3</f>
        <v>1000000</v>
      </c>
      <c r="X133" s="74">
        <f t="shared" si="55"/>
        <v>1000000</v>
      </c>
      <c r="Z133" s="17">
        <f t="shared" si="57"/>
        <v>0</v>
      </c>
      <c r="AA133" s="17">
        <f t="shared" si="56"/>
        <v>1000000</v>
      </c>
      <c r="AB133" s="18">
        <f t="shared" si="58"/>
        <v>1000000</v>
      </c>
    </row>
    <row r="134" spans="1:28" ht="15" customHeight="1">
      <c r="A134" s="80" t="s">
        <v>116</v>
      </c>
      <c r="B134" s="17"/>
      <c r="C134" s="17"/>
      <c r="D134" s="17"/>
      <c r="E134" s="31"/>
      <c r="F134" s="14"/>
      <c r="G134" s="14"/>
      <c r="H134" s="14"/>
      <c r="I134" s="14"/>
      <c r="J134" s="14"/>
      <c r="K134" s="14"/>
      <c r="L134" s="14"/>
      <c r="M134" s="14"/>
      <c r="N134" s="14"/>
      <c r="O134" s="65"/>
      <c r="P134" s="66"/>
      <c r="Q134" s="66"/>
      <c r="R134" s="66"/>
      <c r="S134" s="66"/>
      <c r="T134" s="66"/>
      <c r="U134" s="66">
        <v>150000</v>
      </c>
      <c r="V134" s="66"/>
      <c r="W134" s="66"/>
      <c r="X134" s="74">
        <f t="shared" si="55"/>
        <v>150000</v>
      </c>
      <c r="Z134" s="17">
        <f t="shared" si="57"/>
        <v>150000</v>
      </c>
      <c r="AA134" s="17">
        <f t="shared" si="56"/>
        <v>0</v>
      </c>
      <c r="AB134" s="18">
        <f t="shared" si="58"/>
        <v>150000</v>
      </c>
    </row>
    <row r="135" spans="1:28" ht="15" customHeight="1">
      <c r="A135" s="82" t="s">
        <v>138</v>
      </c>
      <c r="B135" s="17"/>
      <c r="C135" s="17"/>
      <c r="D135" s="17"/>
      <c r="E135" s="31"/>
      <c r="F135" s="14"/>
      <c r="G135" s="14"/>
      <c r="H135" s="14"/>
      <c r="I135" s="14"/>
      <c r="J135" s="14"/>
      <c r="K135" s="14"/>
      <c r="L135" s="14"/>
      <c r="M135" s="14"/>
      <c r="N135" s="14"/>
      <c r="O135" s="13"/>
      <c r="P135" s="13"/>
      <c r="Q135" s="13"/>
      <c r="R135" s="13"/>
      <c r="S135" s="13"/>
      <c r="T135" s="13"/>
      <c r="U135" s="40"/>
      <c r="V135" s="30"/>
      <c r="W135" s="31">
        <v>1000000</v>
      </c>
      <c r="X135" s="74">
        <f t="shared" si="55"/>
        <v>1000000</v>
      </c>
      <c r="Z135" s="17">
        <f t="shared" si="57"/>
        <v>0</v>
      </c>
      <c r="AA135" s="17">
        <f t="shared" si="56"/>
        <v>1000000</v>
      </c>
      <c r="AB135" s="18">
        <f t="shared" si="58"/>
        <v>1000000</v>
      </c>
    </row>
    <row r="136" spans="1:28" ht="15" customHeight="1">
      <c r="A136" s="82" t="s">
        <v>139</v>
      </c>
      <c r="B136" s="17"/>
      <c r="C136" s="17"/>
      <c r="D136" s="17"/>
      <c r="E136" s="31"/>
      <c r="F136" s="14"/>
      <c r="G136" s="14"/>
      <c r="H136" s="14"/>
      <c r="I136" s="14"/>
      <c r="J136" s="14"/>
      <c r="K136" s="14"/>
      <c r="L136" s="14"/>
      <c r="M136" s="14"/>
      <c r="N136" s="14"/>
      <c r="O136" s="13"/>
      <c r="P136" s="13"/>
      <c r="Q136" s="13"/>
      <c r="R136" s="13"/>
      <c r="S136" s="13"/>
      <c r="T136" s="13"/>
      <c r="U136" s="40"/>
      <c r="V136" s="30"/>
      <c r="W136" s="31">
        <v>1000000</v>
      </c>
      <c r="X136" s="74">
        <f t="shared" si="55"/>
        <v>1000000</v>
      </c>
      <c r="Z136" s="17">
        <f t="shared" si="57"/>
        <v>0</v>
      </c>
      <c r="AA136" s="17">
        <f t="shared" si="56"/>
        <v>1000000</v>
      </c>
      <c r="AB136" s="18">
        <f t="shared" si="58"/>
        <v>1000000</v>
      </c>
    </row>
    <row r="137" spans="1:28" ht="15" customHeight="1">
      <c r="A137" s="82" t="s">
        <v>140</v>
      </c>
      <c r="B137" s="17"/>
      <c r="C137" s="17"/>
      <c r="D137" s="17"/>
      <c r="E137" s="31"/>
      <c r="F137" s="14"/>
      <c r="G137" s="14"/>
      <c r="H137" s="14"/>
      <c r="I137" s="14"/>
      <c r="J137" s="14"/>
      <c r="K137" s="14"/>
      <c r="L137" s="14"/>
      <c r="M137" s="14"/>
      <c r="N137" s="14"/>
      <c r="O137" s="13"/>
      <c r="P137" s="13"/>
      <c r="Q137" s="13">
        <v>0</v>
      </c>
      <c r="R137" s="13">
        <f>4265000</f>
        <v>4265000</v>
      </c>
      <c r="S137" s="13"/>
      <c r="T137" s="13"/>
      <c r="U137" s="83"/>
      <c r="V137" s="15"/>
      <c r="W137" s="14"/>
      <c r="X137" s="74">
        <f t="shared" si="55"/>
        <v>4265000</v>
      </c>
      <c r="Z137" s="17">
        <f t="shared" si="57"/>
        <v>4265000</v>
      </c>
      <c r="AA137" s="17">
        <f t="shared" si="56"/>
        <v>0</v>
      </c>
      <c r="AB137" s="18">
        <f t="shared" si="58"/>
        <v>4265000</v>
      </c>
    </row>
    <row r="138" spans="1:28" ht="15" customHeight="1">
      <c r="A138" s="84" t="s">
        <v>141</v>
      </c>
      <c r="B138" s="17"/>
      <c r="C138" s="17"/>
      <c r="D138" s="17"/>
      <c r="E138" s="31"/>
      <c r="F138" s="14"/>
      <c r="G138" s="14"/>
      <c r="H138" s="14"/>
      <c r="I138" s="14"/>
      <c r="J138" s="14"/>
      <c r="K138" s="14"/>
      <c r="L138" s="14"/>
      <c r="M138" s="14"/>
      <c r="N138" s="14"/>
      <c r="O138" s="13"/>
      <c r="P138" s="13"/>
      <c r="Q138" s="13"/>
      <c r="R138" s="13"/>
      <c r="S138" s="13"/>
      <c r="T138" s="13"/>
      <c r="U138" s="83">
        <v>0</v>
      </c>
      <c r="V138" s="83">
        <v>0</v>
      </c>
      <c r="W138" s="13"/>
      <c r="X138" s="74">
        <f t="shared" si="55"/>
        <v>0</v>
      </c>
      <c r="Z138" s="17">
        <f t="shared" si="57"/>
        <v>0</v>
      </c>
      <c r="AA138" s="17">
        <f t="shared" si="56"/>
        <v>0</v>
      </c>
      <c r="AB138" s="18">
        <f t="shared" si="58"/>
        <v>0</v>
      </c>
    </row>
    <row r="139" spans="1:28" ht="15.75" customHeight="1">
      <c r="A139" s="80" t="s">
        <v>142</v>
      </c>
      <c r="B139" s="17"/>
      <c r="C139" s="17"/>
      <c r="D139" s="17"/>
      <c r="E139" s="31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>
        <v>1000000</v>
      </c>
      <c r="X139" s="74">
        <f t="shared" si="55"/>
        <v>1000000</v>
      </c>
      <c r="Z139" s="17">
        <f t="shared" si="57"/>
        <v>0</v>
      </c>
      <c r="AA139" s="17">
        <f t="shared" si="56"/>
        <v>1000000</v>
      </c>
      <c r="AB139" s="18">
        <f t="shared" si="58"/>
        <v>1000000</v>
      </c>
    </row>
    <row r="140" spans="1:28" ht="15.75" customHeight="1">
      <c r="A140" s="126" t="s">
        <v>143</v>
      </c>
      <c r="B140" s="41">
        <f t="shared" ref="B140:P140" si="59">SUM(B120:B137)</f>
        <v>0</v>
      </c>
      <c r="C140" s="41">
        <f t="shared" si="59"/>
        <v>0</v>
      </c>
      <c r="D140" s="41">
        <f t="shared" si="59"/>
        <v>0</v>
      </c>
      <c r="E140" s="41">
        <f t="shared" si="59"/>
        <v>0</v>
      </c>
      <c r="F140" s="41">
        <f t="shared" si="59"/>
        <v>0</v>
      </c>
      <c r="G140" s="41">
        <f t="shared" si="59"/>
        <v>0</v>
      </c>
      <c r="H140" s="41">
        <f t="shared" si="59"/>
        <v>0</v>
      </c>
      <c r="I140" s="41">
        <f t="shared" si="59"/>
        <v>0</v>
      </c>
      <c r="J140" s="41">
        <f t="shared" si="59"/>
        <v>0</v>
      </c>
      <c r="K140" s="41">
        <f t="shared" si="59"/>
        <v>0</v>
      </c>
      <c r="L140" s="41">
        <f t="shared" si="59"/>
        <v>0</v>
      </c>
      <c r="M140" s="41">
        <f t="shared" si="59"/>
        <v>0</v>
      </c>
      <c r="N140" s="41">
        <f t="shared" si="59"/>
        <v>0</v>
      </c>
      <c r="O140" s="41">
        <f t="shared" si="59"/>
        <v>0</v>
      </c>
      <c r="P140" s="41">
        <f t="shared" si="59"/>
        <v>0</v>
      </c>
      <c r="Q140" s="41">
        <f t="shared" ref="Q140:V140" si="60">SUM(Q120:Q138)</f>
        <v>0</v>
      </c>
      <c r="R140" s="41">
        <f t="shared" si="60"/>
        <v>12577000</v>
      </c>
      <c r="S140" s="41">
        <f t="shared" si="60"/>
        <v>7600000</v>
      </c>
      <c r="T140" s="41">
        <f t="shared" si="60"/>
        <v>4112000</v>
      </c>
      <c r="U140" s="41">
        <f t="shared" si="60"/>
        <v>4530000</v>
      </c>
      <c r="V140" s="41">
        <f t="shared" si="60"/>
        <v>0</v>
      </c>
      <c r="W140" s="41">
        <f>SUM(W120:W139)</f>
        <v>14150000</v>
      </c>
      <c r="X140" s="228">
        <f>SUM(X119:X139)</f>
        <v>42969000</v>
      </c>
      <c r="Z140" s="17">
        <f>SUM(Z119:Z139)</f>
        <v>28819000</v>
      </c>
      <c r="AA140" s="17">
        <f>SUM(AA119:AA139)</f>
        <v>14150000</v>
      </c>
      <c r="AB140" s="17">
        <f>SUM(AB119:AB139)</f>
        <v>42969000</v>
      </c>
    </row>
    <row r="141" spans="1:28" ht="15" customHeight="1">
      <c r="A141" s="229" t="s">
        <v>144</v>
      </c>
      <c r="B141" s="201">
        <f t="shared" ref="B141:AB141" si="61">+B147+B166</f>
        <v>0</v>
      </c>
      <c r="C141" s="201">
        <f t="shared" si="61"/>
        <v>0</v>
      </c>
      <c r="D141" s="201">
        <f t="shared" si="61"/>
        <v>0</v>
      </c>
      <c r="E141" s="201">
        <f t="shared" si="61"/>
        <v>0</v>
      </c>
      <c r="F141" s="201">
        <f t="shared" si="61"/>
        <v>0</v>
      </c>
      <c r="G141" s="201">
        <f t="shared" si="61"/>
        <v>0</v>
      </c>
      <c r="H141" s="201">
        <f t="shared" si="61"/>
        <v>0</v>
      </c>
      <c r="I141" s="201">
        <f t="shared" si="61"/>
        <v>0</v>
      </c>
      <c r="J141" s="201">
        <f t="shared" si="61"/>
        <v>0</v>
      </c>
      <c r="K141" s="201">
        <f t="shared" si="61"/>
        <v>0</v>
      </c>
      <c r="L141" s="201">
        <f t="shared" si="61"/>
        <v>0</v>
      </c>
      <c r="M141" s="201">
        <f t="shared" si="61"/>
        <v>0</v>
      </c>
      <c r="N141" s="201">
        <f t="shared" si="61"/>
        <v>0</v>
      </c>
      <c r="O141" s="201">
        <f t="shared" si="61"/>
        <v>0</v>
      </c>
      <c r="P141" s="201">
        <f t="shared" si="61"/>
        <v>0</v>
      </c>
      <c r="Q141" s="201">
        <f t="shared" si="61"/>
        <v>6934880</v>
      </c>
      <c r="R141" s="201">
        <f t="shared" si="61"/>
        <v>10879000</v>
      </c>
      <c r="S141" s="201">
        <f t="shared" si="61"/>
        <v>20545428</v>
      </c>
      <c r="T141" s="201">
        <f t="shared" si="61"/>
        <v>5351299</v>
      </c>
      <c r="U141" s="201">
        <f t="shared" si="61"/>
        <v>76289980</v>
      </c>
      <c r="V141" s="49">
        <f t="shared" si="61"/>
        <v>5535130</v>
      </c>
      <c r="W141" s="49">
        <f t="shared" si="61"/>
        <v>34381866</v>
      </c>
      <c r="X141" s="230">
        <f t="shared" si="61"/>
        <v>159917583</v>
      </c>
      <c r="Y141" s="230">
        <f t="shared" si="61"/>
        <v>0</v>
      </c>
      <c r="Z141" s="230">
        <f t="shared" si="61"/>
        <v>125535717</v>
      </c>
      <c r="AA141" s="230">
        <f t="shared" si="61"/>
        <v>34381866</v>
      </c>
      <c r="AB141" s="230">
        <f t="shared" si="61"/>
        <v>159917583</v>
      </c>
    </row>
    <row r="142" spans="1:28">
      <c r="A142" s="231" t="s">
        <v>145</v>
      </c>
      <c r="B142" s="45"/>
      <c r="C142" s="45"/>
      <c r="D142" s="45"/>
      <c r="E142" s="45"/>
      <c r="F142" s="45"/>
      <c r="G142" s="45"/>
      <c r="H142" s="45"/>
      <c r="I142" s="45"/>
      <c r="J142" s="45"/>
      <c r="K142" s="54"/>
      <c r="L142" s="86"/>
      <c r="M142" s="146"/>
      <c r="N142" s="227"/>
      <c r="O142" s="146"/>
      <c r="P142" s="146"/>
      <c r="Q142" s="146"/>
      <c r="R142" s="146"/>
      <c r="S142" s="146"/>
      <c r="T142" s="146"/>
      <c r="U142" s="145"/>
      <c r="V142" s="87"/>
      <c r="W142" s="86"/>
      <c r="X142" s="94">
        <f>SUM(B142:R142)</f>
        <v>0</v>
      </c>
      <c r="Y142" s="94">
        <f t="shared" ref="Y142:AB142" si="62">SUM(C142:S142)</f>
        <v>0</v>
      </c>
      <c r="Z142" s="94">
        <f t="shared" si="62"/>
        <v>0</v>
      </c>
      <c r="AA142" s="94">
        <f t="shared" si="62"/>
        <v>0</v>
      </c>
      <c r="AB142" s="94">
        <f t="shared" si="62"/>
        <v>0</v>
      </c>
    </row>
    <row r="143" spans="1:28" ht="15" customHeight="1">
      <c r="A143" s="85" t="s">
        <v>146</v>
      </c>
      <c r="B143" s="86"/>
      <c r="C143" s="86"/>
      <c r="D143" s="86"/>
      <c r="E143" s="86"/>
      <c r="F143" s="86"/>
      <c r="G143" s="86"/>
      <c r="H143" s="86"/>
      <c r="I143" s="86"/>
      <c r="J143" s="86"/>
      <c r="K143" s="87"/>
      <c r="L143" s="15"/>
      <c r="M143" s="14"/>
      <c r="N143" s="15"/>
      <c r="O143" s="14"/>
      <c r="P143" s="14">
        <v>0</v>
      </c>
      <c r="Q143" s="14">
        <v>3750000</v>
      </c>
      <c r="R143" s="14">
        <f>10750000-4000000</f>
        <v>6750000</v>
      </c>
      <c r="S143" s="14"/>
      <c r="T143" s="14"/>
      <c r="U143" s="15"/>
      <c r="V143" s="15"/>
      <c r="W143" s="14"/>
      <c r="X143" s="74">
        <f t="shared" ref="X143:X146" si="63">SUM(B143:W143)</f>
        <v>10500000</v>
      </c>
      <c r="Z143" s="17">
        <f t="shared" ref="Z143:Z146" si="64">SUM(B143:V143)</f>
        <v>10500000</v>
      </c>
      <c r="AA143" s="17">
        <f t="shared" ref="AA143:AA146" si="65">+W143</f>
        <v>0</v>
      </c>
      <c r="AB143" s="18">
        <f t="shared" ref="AB143:AB146" si="66">+Z143+AA143</f>
        <v>10500000</v>
      </c>
    </row>
    <row r="144" spans="1:28" ht="15" customHeight="1">
      <c r="A144" s="85" t="s">
        <v>147</v>
      </c>
      <c r="B144" s="86"/>
      <c r="C144" s="86"/>
      <c r="D144" s="86"/>
      <c r="E144" s="86"/>
      <c r="F144" s="86"/>
      <c r="G144" s="86"/>
      <c r="H144" s="86"/>
      <c r="I144" s="86"/>
      <c r="J144" s="86"/>
      <c r="K144" s="87"/>
      <c r="L144" s="15"/>
      <c r="M144" s="14"/>
      <c r="N144" s="15"/>
      <c r="O144" s="14"/>
      <c r="P144" s="14"/>
      <c r="Q144" s="14"/>
      <c r="R144" s="14">
        <v>0</v>
      </c>
      <c r="S144" s="14">
        <v>940000</v>
      </c>
      <c r="T144" s="14">
        <v>0</v>
      </c>
      <c r="U144" s="15"/>
      <c r="V144" s="15"/>
      <c r="W144" s="14"/>
      <c r="X144" s="74">
        <f t="shared" si="63"/>
        <v>940000</v>
      </c>
      <c r="Z144" s="17">
        <f t="shared" si="64"/>
        <v>940000</v>
      </c>
      <c r="AA144" s="17">
        <f t="shared" si="65"/>
        <v>0</v>
      </c>
      <c r="AB144" s="18">
        <f t="shared" si="66"/>
        <v>940000</v>
      </c>
    </row>
    <row r="145" spans="1:28" ht="15" customHeight="1">
      <c r="A145" s="85" t="s">
        <v>148</v>
      </c>
      <c r="B145" s="86"/>
      <c r="C145" s="86"/>
      <c r="D145" s="86"/>
      <c r="E145" s="86"/>
      <c r="F145" s="86"/>
      <c r="G145" s="86"/>
      <c r="H145" s="86"/>
      <c r="I145" s="86"/>
      <c r="J145" s="86"/>
      <c r="K145" s="87"/>
      <c r="L145" s="15"/>
      <c r="M145" s="14"/>
      <c r="N145" s="15"/>
      <c r="O145" s="14"/>
      <c r="P145" s="14"/>
      <c r="Q145" s="14"/>
      <c r="R145" s="14"/>
      <c r="S145" s="14"/>
      <c r="T145" s="14"/>
      <c r="U145" s="15"/>
      <c r="V145" s="15"/>
      <c r="W145" s="31">
        <f>7255000-4836660</f>
        <v>2418340</v>
      </c>
      <c r="X145" s="74">
        <f t="shared" si="63"/>
        <v>2418340</v>
      </c>
      <c r="Z145" s="17">
        <f t="shared" si="64"/>
        <v>0</v>
      </c>
      <c r="AA145" s="17">
        <f t="shared" si="65"/>
        <v>2418340</v>
      </c>
      <c r="AB145" s="18">
        <f>+Z145+AA145</f>
        <v>2418340</v>
      </c>
    </row>
    <row r="146" spans="1:28" ht="15" customHeight="1">
      <c r="A146" s="85" t="s">
        <v>149</v>
      </c>
      <c r="B146" s="86"/>
      <c r="C146" s="86"/>
      <c r="D146" s="86"/>
      <c r="E146" s="86"/>
      <c r="F146" s="86"/>
      <c r="G146" s="86"/>
      <c r="H146" s="86"/>
      <c r="I146" s="86"/>
      <c r="J146" s="86"/>
      <c r="K146" s="87"/>
      <c r="L146" s="15"/>
      <c r="M146" s="14"/>
      <c r="N146" s="15"/>
      <c r="O146" s="14"/>
      <c r="P146" s="14">
        <v>0</v>
      </c>
      <c r="Q146" s="14"/>
      <c r="R146" s="14">
        <f>4333000-1667000</f>
        <v>2666000</v>
      </c>
      <c r="S146" s="14">
        <f>1565000</f>
        <v>1565000</v>
      </c>
      <c r="T146" s="14"/>
      <c r="U146" s="15"/>
      <c r="V146" s="15"/>
      <c r="W146" s="14"/>
      <c r="X146" s="74">
        <f t="shared" si="63"/>
        <v>4231000</v>
      </c>
      <c r="Z146" s="17">
        <f t="shared" si="64"/>
        <v>4231000</v>
      </c>
      <c r="AA146" s="17">
        <f t="shared" si="65"/>
        <v>0</v>
      </c>
      <c r="AB146" s="18">
        <f t="shared" si="66"/>
        <v>4231000</v>
      </c>
    </row>
    <row r="147" spans="1:28" ht="15.75" customHeight="1" thickBot="1">
      <c r="A147" s="232" t="s">
        <v>150</v>
      </c>
      <c r="B147" s="233">
        <f t="shared" ref="B147:AB147" si="67">SUM(B143:B146)</f>
        <v>0</v>
      </c>
      <c r="C147" s="233">
        <f t="shared" si="67"/>
        <v>0</v>
      </c>
      <c r="D147" s="233">
        <f t="shared" si="67"/>
        <v>0</v>
      </c>
      <c r="E147" s="233">
        <f t="shared" si="67"/>
        <v>0</v>
      </c>
      <c r="F147" s="233">
        <f t="shared" si="67"/>
        <v>0</v>
      </c>
      <c r="G147" s="233">
        <f t="shared" si="67"/>
        <v>0</v>
      </c>
      <c r="H147" s="233">
        <f t="shared" si="67"/>
        <v>0</v>
      </c>
      <c r="I147" s="233">
        <f t="shared" si="67"/>
        <v>0</v>
      </c>
      <c r="J147" s="233">
        <f t="shared" si="67"/>
        <v>0</v>
      </c>
      <c r="K147" s="233">
        <f t="shared" si="67"/>
        <v>0</v>
      </c>
      <c r="L147" s="233">
        <f t="shared" si="67"/>
        <v>0</v>
      </c>
      <c r="M147" s="233">
        <f t="shared" si="67"/>
        <v>0</v>
      </c>
      <c r="N147" s="234">
        <f t="shared" si="67"/>
        <v>0</v>
      </c>
      <c r="O147" s="233">
        <f t="shared" si="67"/>
        <v>0</v>
      </c>
      <c r="P147" s="233">
        <f t="shared" si="67"/>
        <v>0</v>
      </c>
      <c r="Q147" s="233">
        <f t="shared" si="67"/>
        <v>3750000</v>
      </c>
      <c r="R147" s="233">
        <f t="shared" si="67"/>
        <v>9416000</v>
      </c>
      <c r="S147" s="233">
        <f t="shared" si="67"/>
        <v>2505000</v>
      </c>
      <c r="T147" s="233">
        <f t="shared" si="67"/>
        <v>0</v>
      </c>
      <c r="U147" s="233">
        <f t="shared" si="67"/>
        <v>0</v>
      </c>
      <c r="V147" s="234">
        <f t="shared" si="67"/>
        <v>0</v>
      </c>
      <c r="W147" s="234">
        <f t="shared" si="67"/>
        <v>2418340</v>
      </c>
      <c r="X147" s="235">
        <f t="shared" si="67"/>
        <v>18089340</v>
      </c>
      <c r="Y147" s="235">
        <f t="shared" si="67"/>
        <v>0</v>
      </c>
      <c r="Z147" s="235">
        <f t="shared" si="67"/>
        <v>15671000</v>
      </c>
      <c r="AA147" s="235">
        <f t="shared" si="67"/>
        <v>2418340</v>
      </c>
      <c r="AB147" s="235">
        <f t="shared" si="67"/>
        <v>18089340</v>
      </c>
    </row>
    <row r="148" spans="1:28" ht="15.75" customHeight="1" thickBot="1">
      <c r="A148" s="189" t="s">
        <v>151</v>
      </c>
      <c r="B148" s="184">
        <f>SUM(B166)</f>
        <v>0</v>
      </c>
      <c r="C148" s="184">
        <f t="shared" ref="C148:AB148" si="68">SUM(C166)</f>
        <v>0</v>
      </c>
      <c r="D148" s="184">
        <f t="shared" si="68"/>
        <v>0</v>
      </c>
      <c r="E148" s="184">
        <f t="shared" si="68"/>
        <v>0</v>
      </c>
      <c r="F148" s="184">
        <f t="shared" si="68"/>
        <v>0</v>
      </c>
      <c r="G148" s="184">
        <f t="shared" si="68"/>
        <v>0</v>
      </c>
      <c r="H148" s="184">
        <f t="shared" si="68"/>
        <v>0</v>
      </c>
      <c r="I148" s="184">
        <f t="shared" si="68"/>
        <v>0</v>
      </c>
      <c r="J148" s="184">
        <f t="shared" si="68"/>
        <v>0</v>
      </c>
      <c r="K148" s="184">
        <f t="shared" si="68"/>
        <v>0</v>
      </c>
      <c r="L148" s="184">
        <f t="shared" si="68"/>
        <v>0</v>
      </c>
      <c r="M148" s="184">
        <f t="shared" si="68"/>
        <v>0</v>
      </c>
      <c r="N148" s="184">
        <f t="shared" si="68"/>
        <v>0</v>
      </c>
      <c r="O148" s="184">
        <f t="shared" si="68"/>
        <v>0</v>
      </c>
      <c r="P148" s="184">
        <f t="shared" si="68"/>
        <v>0</v>
      </c>
      <c r="Q148" s="184">
        <f t="shared" si="68"/>
        <v>3184880</v>
      </c>
      <c r="R148" s="184">
        <f t="shared" si="68"/>
        <v>1463000</v>
      </c>
      <c r="S148" s="184">
        <f t="shared" si="68"/>
        <v>18040428</v>
      </c>
      <c r="T148" s="184">
        <f t="shared" si="68"/>
        <v>5351299</v>
      </c>
      <c r="U148" s="184">
        <f t="shared" si="68"/>
        <v>76289980</v>
      </c>
      <c r="V148" s="185">
        <f>SUM(V166)</f>
        <v>5535130</v>
      </c>
      <c r="W148" s="185">
        <f>SUM(W166)</f>
        <v>31963526</v>
      </c>
      <c r="X148" s="204">
        <f t="shared" si="68"/>
        <v>141828243</v>
      </c>
      <c r="Y148" s="204">
        <f t="shared" si="68"/>
        <v>0</v>
      </c>
      <c r="Z148" s="204">
        <f t="shared" si="68"/>
        <v>109864717</v>
      </c>
      <c r="AA148" s="204">
        <f t="shared" si="68"/>
        <v>31963526</v>
      </c>
      <c r="AB148" s="204">
        <f t="shared" si="68"/>
        <v>141828243</v>
      </c>
    </row>
    <row r="149" spans="1:28">
      <c r="A149" s="88" t="s">
        <v>152</v>
      </c>
      <c r="B149" s="89"/>
      <c r="C149" s="89"/>
      <c r="D149" s="89"/>
      <c r="E149" s="90"/>
      <c r="F149" s="90"/>
      <c r="G149" s="90"/>
      <c r="H149" s="90"/>
      <c r="I149" s="90"/>
      <c r="J149" s="90"/>
      <c r="K149" s="90"/>
      <c r="L149" s="90"/>
      <c r="M149" s="91"/>
      <c r="N149" s="91"/>
      <c r="O149" s="92"/>
      <c r="P149" s="92"/>
      <c r="Q149" s="92"/>
      <c r="R149" s="92"/>
      <c r="S149" s="92"/>
      <c r="T149" s="92"/>
      <c r="U149" s="93"/>
      <c r="V149" s="93"/>
      <c r="W149" s="14"/>
      <c r="X149" s="94">
        <f>SUM(B149:O149)</f>
        <v>0</v>
      </c>
      <c r="Z149" s="17">
        <f t="shared" ref="Z149:Z165" si="69">SUM(B149:V149)</f>
        <v>0</v>
      </c>
      <c r="AA149" s="17">
        <f t="shared" ref="AA149:AA165" si="70">+W149</f>
        <v>0</v>
      </c>
      <c r="AB149" s="18">
        <f t="shared" ref="AB149:AB165" si="71">+Z149+AA149</f>
        <v>0</v>
      </c>
    </row>
    <row r="150" spans="1:28" ht="15" customHeight="1">
      <c r="A150" s="95" t="s">
        <v>153</v>
      </c>
      <c r="B150" s="17"/>
      <c r="C150" s="17"/>
      <c r="D150" s="17"/>
      <c r="E150" s="31"/>
      <c r="F150" s="14"/>
      <c r="G150" s="14"/>
      <c r="H150" s="14"/>
      <c r="I150" s="14"/>
      <c r="J150" s="14"/>
      <c r="K150" s="14"/>
      <c r="L150" s="14"/>
      <c r="M150" s="14"/>
      <c r="N150" s="15"/>
      <c r="O150" s="14"/>
      <c r="P150" s="14"/>
      <c r="Q150" s="14"/>
      <c r="R150" s="14"/>
      <c r="S150" s="14">
        <f>13000000</f>
        <v>13000000</v>
      </c>
      <c r="T150" s="14">
        <v>0</v>
      </c>
      <c r="U150" s="15"/>
      <c r="V150" s="15">
        <v>0</v>
      </c>
      <c r="W150" s="14">
        <v>15000000</v>
      </c>
      <c r="X150" s="74">
        <f t="shared" ref="X150:X165" si="72">SUM(B150:W150)</f>
        <v>28000000</v>
      </c>
      <c r="Z150" s="17">
        <f t="shared" si="69"/>
        <v>13000000</v>
      </c>
      <c r="AA150" s="17">
        <f t="shared" si="70"/>
        <v>15000000</v>
      </c>
      <c r="AB150" s="18">
        <f t="shared" si="71"/>
        <v>28000000</v>
      </c>
    </row>
    <row r="151" spans="1:28" ht="15" customHeight="1">
      <c r="A151" s="96" t="s">
        <v>154</v>
      </c>
      <c r="B151" s="17"/>
      <c r="C151" s="17"/>
      <c r="D151" s="17"/>
      <c r="E151" s="31"/>
      <c r="F151" s="14"/>
      <c r="G151" s="14"/>
      <c r="H151" s="14"/>
      <c r="I151" s="14"/>
      <c r="J151" s="14"/>
      <c r="K151" s="14"/>
      <c r="L151" s="14"/>
      <c r="M151" s="97"/>
      <c r="N151" s="83"/>
      <c r="O151" s="14"/>
      <c r="P151" s="14"/>
      <c r="Q151" s="14"/>
      <c r="R151" s="14"/>
      <c r="S151" s="14">
        <v>1039000</v>
      </c>
      <c r="T151" s="14">
        <v>2951299</v>
      </c>
      <c r="U151" s="15"/>
      <c r="V151" s="15"/>
      <c r="W151" s="14"/>
      <c r="X151" s="74">
        <f t="shared" si="72"/>
        <v>3990299</v>
      </c>
      <c r="Z151" s="17">
        <f t="shared" si="69"/>
        <v>3990299</v>
      </c>
      <c r="AA151" s="17">
        <f t="shared" si="70"/>
        <v>0</v>
      </c>
      <c r="AB151" s="18">
        <f t="shared" si="71"/>
        <v>3990299</v>
      </c>
    </row>
    <row r="152" spans="1:28" ht="15" customHeight="1">
      <c r="A152" s="96" t="s">
        <v>155</v>
      </c>
      <c r="B152" s="17"/>
      <c r="C152" s="17"/>
      <c r="D152" s="17"/>
      <c r="E152" s="31"/>
      <c r="F152" s="14"/>
      <c r="G152" s="14"/>
      <c r="H152" s="14"/>
      <c r="I152" s="14"/>
      <c r="J152" s="14"/>
      <c r="K152" s="14"/>
      <c r="L152" s="14"/>
      <c r="M152" s="97"/>
      <c r="N152" s="83"/>
      <c r="O152" s="14"/>
      <c r="P152" s="14"/>
      <c r="Q152" s="14"/>
      <c r="R152" s="14"/>
      <c r="S152" s="14">
        <v>269000</v>
      </c>
      <c r="T152" s="72">
        <v>0</v>
      </c>
      <c r="U152" s="73"/>
      <c r="V152" s="73"/>
      <c r="W152" s="72"/>
      <c r="X152" s="74">
        <f t="shared" si="72"/>
        <v>269000</v>
      </c>
      <c r="Z152" s="17">
        <f t="shared" si="69"/>
        <v>269000</v>
      </c>
      <c r="AA152" s="17">
        <f t="shared" si="70"/>
        <v>0</v>
      </c>
      <c r="AB152" s="18">
        <f t="shared" si="71"/>
        <v>269000</v>
      </c>
    </row>
    <row r="153" spans="1:28" ht="15" customHeight="1">
      <c r="A153" s="98" t="s">
        <v>156</v>
      </c>
      <c r="B153" s="17"/>
      <c r="C153" s="17"/>
      <c r="D153" s="17"/>
      <c r="E153" s="31"/>
      <c r="F153" s="31"/>
      <c r="G153" s="31"/>
      <c r="H153" s="31"/>
      <c r="I153" s="31"/>
      <c r="J153" s="31"/>
      <c r="K153" s="31"/>
      <c r="L153" s="31"/>
      <c r="M153" s="30"/>
      <c r="N153" s="30"/>
      <c r="O153" s="31"/>
      <c r="P153" s="31"/>
      <c r="Q153" s="31"/>
      <c r="R153" s="31"/>
      <c r="S153" s="31"/>
      <c r="T153" s="31">
        <v>0</v>
      </c>
      <c r="U153" s="30">
        <v>8000000</v>
      </c>
      <c r="V153" s="30"/>
      <c r="W153" s="31"/>
      <c r="X153" s="74">
        <f t="shared" si="72"/>
        <v>8000000</v>
      </c>
      <c r="Z153" s="17">
        <f t="shared" si="69"/>
        <v>8000000</v>
      </c>
      <c r="AA153" s="17">
        <f t="shared" si="70"/>
        <v>0</v>
      </c>
      <c r="AB153" s="18">
        <f t="shared" si="71"/>
        <v>8000000</v>
      </c>
    </row>
    <row r="154" spans="1:28" ht="15" customHeight="1">
      <c r="A154" s="98" t="s">
        <v>157</v>
      </c>
      <c r="B154" s="17"/>
      <c r="C154" s="17"/>
      <c r="D154" s="17"/>
      <c r="E154" s="31"/>
      <c r="F154" s="31"/>
      <c r="G154" s="31"/>
      <c r="H154" s="31"/>
      <c r="I154" s="31"/>
      <c r="J154" s="31"/>
      <c r="K154" s="31"/>
      <c r="L154" s="31"/>
      <c r="M154" s="99"/>
      <c r="N154" s="40"/>
      <c r="O154" s="31"/>
      <c r="P154" s="31"/>
      <c r="Q154" s="31"/>
      <c r="R154" s="31"/>
      <c r="S154" s="31"/>
      <c r="T154" s="31"/>
      <c r="U154" s="30">
        <f>35000000-3800000</f>
        <v>31200000</v>
      </c>
      <c r="V154" s="30"/>
      <c r="W154" s="31"/>
      <c r="X154" s="74">
        <f t="shared" si="72"/>
        <v>31200000</v>
      </c>
      <c r="Z154" s="17">
        <f t="shared" si="69"/>
        <v>31200000</v>
      </c>
      <c r="AA154" s="17">
        <f t="shared" si="70"/>
        <v>0</v>
      </c>
      <c r="AB154" s="18">
        <f t="shared" si="71"/>
        <v>31200000</v>
      </c>
    </row>
    <row r="155" spans="1:28" ht="15" customHeight="1">
      <c r="A155" s="98" t="s">
        <v>158</v>
      </c>
      <c r="B155" s="17"/>
      <c r="C155" s="17"/>
      <c r="D155" s="17"/>
      <c r="E155" s="31"/>
      <c r="F155" s="31"/>
      <c r="G155" s="31"/>
      <c r="H155" s="31"/>
      <c r="I155" s="31"/>
      <c r="J155" s="31"/>
      <c r="K155" s="31"/>
      <c r="L155" s="31"/>
      <c r="M155" s="99"/>
      <c r="N155" s="40"/>
      <c r="O155" s="31"/>
      <c r="P155" s="31"/>
      <c r="Q155" s="31"/>
      <c r="R155" s="31"/>
      <c r="S155" s="31"/>
      <c r="T155" s="31"/>
      <c r="U155" s="30">
        <v>35250000</v>
      </c>
      <c r="V155" s="30"/>
      <c r="W155" s="31"/>
      <c r="X155" s="74">
        <f t="shared" si="72"/>
        <v>35250000</v>
      </c>
      <c r="Z155" s="17">
        <f t="shared" si="69"/>
        <v>35250000</v>
      </c>
      <c r="AA155" s="17">
        <f t="shared" si="70"/>
        <v>0</v>
      </c>
      <c r="AB155" s="18">
        <f t="shared" si="71"/>
        <v>35250000</v>
      </c>
    </row>
    <row r="156" spans="1:28" ht="15" customHeight="1">
      <c r="A156" s="95" t="s">
        <v>159</v>
      </c>
      <c r="B156" s="17"/>
      <c r="C156" s="17"/>
      <c r="D156" s="17"/>
      <c r="E156" s="31"/>
      <c r="F156" s="14"/>
      <c r="G156" s="14"/>
      <c r="H156" s="14"/>
      <c r="I156" s="14"/>
      <c r="J156" s="14"/>
      <c r="K156" s="14"/>
      <c r="L156" s="14"/>
      <c r="M156" s="14"/>
      <c r="N156" s="15"/>
      <c r="O156" s="14"/>
      <c r="P156" s="14"/>
      <c r="Q156" s="14"/>
      <c r="R156" s="14"/>
      <c r="S156" s="31"/>
      <c r="T156" s="14">
        <v>0</v>
      </c>
      <c r="U156" s="15">
        <v>1839980</v>
      </c>
      <c r="V156" s="15">
        <v>4815000</v>
      </c>
      <c r="W156" s="14"/>
      <c r="X156" s="74">
        <f t="shared" si="72"/>
        <v>6654980</v>
      </c>
      <c r="Z156" s="17">
        <f t="shared" si="69"/>
        <v>6654980</v>
      </c>
      <c r="AA156" s="17">
        <f t="shared" si="70"/>
        <v>0</v>
      </c>
      <c r="AB156" s="18">
        <f t="shared" si="71"/>
        <v>6654980</v>
      </c>
    </row>
    <row r="157" spans="1:28" ht="15" customHeight="1">
      <c r="A157" s="95" t="s">
        <v>160</v>
      </c>
      <c r="B157" s="17"/>
      <c r="C157" s="17"/>
      <c r="D157" s="17"/>
      <c r="E157" s="31"/>
      <c r="F157" s="14"/>
      <c r="G157" s="14"/>
      <c r="H157" s="14"/>
      <c r="I157" s="14"/>
      <c r="J157" s="14"/>
      <c r="K157" s="14"/>
      <c r="L157" s="14"/>
      <c r="M157" s="14"/>
      <c r="N157" s="15"/>
      <c r="O157" s="14"/>
      <c r="P157" s="14"/>
      <c r="Q157" s="14">
        <v>0</v>
      </c>
      <c r="R157" s="14">
        <f>3000000-1537000</f>
        <v>1463000</v>
      </c>
      <c r="S157" s="14"/>
      <c r="T157" s="14"/>
      <c r="U157" s="15"/>
      <c r="V157" s="15"/>
      <c r="W157" s="14"/>
      <c r="X157" s="74">
        <f t="shared" si="72"/>
        <v>1463000</v>
      </c>
      <c r="Z157" s="17">
        <f t="shared" si="69"/>
        <v>1463000</v>
      </c>
      <c r="AA157" s="17">
        <f t="shared" si="70"/>
        <v>0</v>
      </c>
      <c r="AB157" s="18">
        <f t="shared" si="71"/>
        <v>1463000</v>
      </c>
    </row>
    <row r="158" spans="1:28" ht="15" customHeight="1">
      <c r="A158" s="95" t="s">
        <v>161</v>
      </c>
      <c r="B158" s="17"/>
      <c r="C158" s="17"/>
      <c r="D158" s="17"/>
      <c r="E158" s="31"/>
      <c r="F158" s="14"/>
      <c r="G158" s="14"/>
      <c r="H158" s="14"/>
      <c r="I158" s="14"/>
      <c r="J158" s="14"/>
      <c r="K158" s="14"/>
      <c r="L158" s="14"/>
      <c r="M158" s="14"/>
      <c r="N158" s="15"/>
      <c r="O158" s="14"/>
      <c r="P158" s="14"/>
      <c r="Q158" s="14"/>
      <c r="R158" s="14"/>
      <c r="S158" s="14">
        <f>2043216-2043216</f>
        <v>0</v>
      </c>
      <c r="T158" s="14">
        <v>0</v>
      </c>
      <c r="U158" s="15">
        <v>0</v>
      </c>
      <c r="V158" s="15">
        <v>720130</v>
      </c>
      <c r="W158" s="14">
        <v>1500000</v>
      </c>
      <c r="X158" s="74">
        <f t="shared" si="72"/>
        <v>2220130</v>
      </c>
      <c r="Z158" s="17">
        <f t="shared" si="69"/>
        <v>720130</v>
      </c>
      <c r="AA158" s="17">
        <f t="shared" si="70"/>
        <v>1500000</v>
      </c>
      <c r="AB158" s="18">
        <f t="shared" si="71"/>
        <v>2220130</v>
      </c>
    </row>
    <row r="159" spans="1:28" ht="15" customHeight="1">
      <c r="A159" s="96" t="s">
        <v>162</v>
      </c>
      <c r="B159" s="17"/>
      <c r="C159" s="17"/>
      <c r="D159" s="17"/>
      <c r="E159" s="31"/>
      <c r="F159" s="14"/>
      <c r="G159" s="14"/>
      <c r="H159" s="14"/>
      <c r="I159" s="14"/>
      <c r="J159" s="14"/>
      <c r="K159" s="14"/>
      <c r="L159" s="14"/>
      <c r="M159" s="97"/>
      <c r="N159" s="83"/>
      <c r="O159" s="14"/>
      <c r="P159" s="14"/>
      <c r="Q159" s="14"/>
      <c r="R159" s="14"/>
      <c r="S159" s="14"/>
      <c r="T159" s="14"/>
      <c r="U159" s="15"/>
      <c r="V159" s="15"/>
      <c r="W159" s="14">
        <v>1500000</v>
      </c>
      <c r="X159" s="74">
        <f t="shared" si="72"/>
        <v>1500000</v>
      </c>
      <c r="Z159" s="17">
        <f t="shared" si="69"/>
        <v>0</v>
      </c>
      <c r="AA159" s="17">
        <f t="shared" si="70"/>
        <v>1500000</v>
      </c>
      <c r="AB159" s="18">
        <f t="shared" si="71"/>
        <v>1500000</v>
      </c>
    </row>
    <row r="160" spans="1:28" ht="15" customHeight="1">
      <c r="A160" s="100" t="s">
        <v>163</v>
      </c>
      <c r="B160" s="24"/>
      <c r="C160" s="24"/>
      <c r="D160" s="24"/>
      <c r="E160" s="14"/>
      <c r="F160" s="14"/>
      <c r="G160" s="14"/>
      <c r="H160" s="14"/>
      <c r="I160" s="14"/>
      <c r="J160" s="14"/>
      <c r="K160" s="14"/>
      <c r="L160" s="14"/>
      <c r="M160" s="97"/>
      <c r="N160" s="83"/>
      <c r="O160" s="14"/>
      <c r="P160" s="14"/>
      <c r="Q160" s="14">
        <v>0</v>
      </c>
      <c r="R160" s="14">
        <f>2914400-1000000-1914400</f>
        <v>0</v>
      </c>
      <c r="S160" s="72">
        <v>0</v>
      </c>
      <c r="T160" s="72">
        <v>0</v>
      </c>
      <c r="U160" s="73"/>
      <c r="V160" s="15">
        <f>264000-264000</f>
        <v>0</v>
      </c>
      <c r="W160" s="14">
        <v>8055000</v>
      </c>
      <c r="X160" s="74">
        <f t="shared" si="72"/>
        <v>8055000</v>
      </c>
      <c r="Z160" s="17">
        <f t="shared" si="69"/>
        <v>0</v>
      </c>
      <c r="AA160" s="17">
        <f t="shared" si="70"/>
        <v>8055000</v>
      </c>
      <c r="AB160" s="18">
        <f t="shared" si="71"/>
        <v>8055000</v>
      </c>
    </row>
    <row r="161" spans="1:28" ht="15" customHeight="1">
      <c r="A161" s="100" t="s">
        <v>164</v>
      </c>
      <c r="B161" s="24"/>
      <c r="C161" s="24"/>
      <c r="D161" s="24"/>
      <c r="E161" s="14"/>
      <c r="F161" s="14"/>
      <c r="G161" s="14"/>
      <c r="H161" s="14"/>
      <c r="I161" s="14"/>
      <c r="J161" s="14"/>
      <c r="K161" s="14"/>
      <c r="L161" s="14"/>
      <c r="M161" s="97"/>
      <c r="N161" s="83"/>
      <c r="O161" s="14"/>
      <c r="P161" s="14"/>
      <c r="Q161" s="14"/>
      <c r="R161" s="14"/>
      <c r="S161" s="14">
        <v>615315</v>
      </c>
      <c r="T161" s="14">
        <v>0</v>
      </c>
      <c r="U161" s="15"/>
      <c r="V161" s="15"/>
      <c r="W161" s="14"/>
      <c r="X161" s="74">
        <f t="shared" si="72"/>
        <v>615315</v>
      </c>
      <c r="Z161" s="17">
        <f t="shared" si="69"/>
        <v>615315</v>
      </c>
      <c r="AA161" s="17">
        <f t="shared" si="70"/>
        <v>0</v>
      </c>
      <c r="AB161" s="18">
        <f t="shared" si="71"/>
        <v>615315</v>
      </c>
    </row>
    <row r="162" spans="1:28" ht="23.25" customHeight="1">
      <c r="A162" s="100" t="s">
        <v>165</v>
      </c>
      <c r="B162" s="24"/>
      <c r="C162" s="24"/>
      <c r="D162" s="24"/>
      <c r="E162" s="14"/>
      <c r="F162" s="14"/>
      <c r="G162" s="14"/>
      <c r="H162" s="14"/>
      <c r="I162" s="14"/>
      <c r="J162" s="14"/>
      <c r="K162" s="14"/>
      <c r="L162" s="14"/>
      <c r="M162" s="97"/>
      <c r="N162" s="83"/>
      <c r="O162" s="14"/>
      <c r="P162" s="14">
        <v>0</v>
      </c>
      <c r="Q162" s="14">
        <v>0</v>
      </c>
      <c r="R162" s="14">
        <f>728000-728000</f>
        <v>0</v>
      </c>
      <c r="S162" s="14"/>
      <c r="T162" s="14"/>
      <c r="U162" s="15"/>
      <c r="V162" s="15">
        <v>0</v>
      </c>
      <c r="W162" s="14">
        <f>10000000-2500000-2500000</f>
        <v>5000000</v>
      </c>
      <c r="X162" s="74">
        <f t="shared" si="72"/>
        <v>5000000</v>
      </c>
      <c r="Z162" s="17">
        <f t="shared" si="69"/>
        <v>0</v>
      </c>
      <c r="AA162" s="17">
        <f t="shared" si="70"/>
        <v>5000000</v>
      </c>
      <c r="AB162" s="18">
        <f t="shared" si="71"/>
        <v>5000000</v>
      </c>
    </row>
    <row r="163" spans="1:28" ht="15" customHeight="1">
      <c r="A163" s="101" t="s">
        <v>166</v>
      </c>
      <c r="B163" s="8"/>
      <c r="C163" s="102"/>
      <c r="D163" s="24"/>
      <c r="E163" s="14"/>
      <c r="F163" s="14"/>
      <c r="G163" s="103"/>
      <c r="H163" s="11"/>
      <c r="I163" s="11"/>
      <c r="J163" s="11"/>
      <c r="K163" s="12"/>
      <c r="L163" s="14"/>
      <c r="M163" s="97"/>
      <c r="N163" s="83"/>
      <c r="O163" s="14"/>
      <c r="P163" s="14"/>
      <c r="Q163" s="14"/>
      <c r="R163" s="14"/>
      <c r="S163" s="14">
        <f>3200000-800000-2400000</f>
        <v>0</v>
      </c>
      <c r="T163" s="14">
        <v>2400000</v>
      </c>
      <c r="U163" s="15">
        <v>0</v>
      </c>
      <c r="V163" s="15">
        <v>0</v>
      </c>
      <c r="W163" s="14">
        <v>908526</v>
      </c>
      <c r="X163" s="74">
        <f t="shared" si="72"/>
        <v>3308526</v>
      </c>
      <c r="Z163" s="17">
        <f t="shared" si="69"/>
        <v>2400000</v>
      </c>
      <c r="AA163" s="17">
        <f t="shared" si="70"/>
        <v>908526</v>
      </c>
      <c r="AB163" s="18">
        <f t="shared" si="71"/>
        <v>3308526</v>
      </c>
    </row>
    <row r="164" spans="1:28" ht="15" customHeight="1">
      <c r="A164" s="95" t="s">
        <v>167</v>
      </c>
      <c r="B164" s="38"/>
      <c r="C164" s="38"/>
      <c r="D164" s="38"/>
      <c r="E164" s="39"/>
      <c r="F164" s="13"/>
      <c r="G164" s="13"/>
      <c r="H164" s="13"/>
      <c r="I164" s="13"/>
      <c r="J164" s="13"/>
      <c r="K164" s="13"/>
      <c r="L164" s="13"/>
      <c r="M164" s="13"/>
      <c r="N164" s="83">
        <v>0</v>
      </c>
      <c r="O164" s="14">
        <v>0</v>
      </c>
      <c r="P164" s="14"/>
      <c r="Q164" s="13">
        <f>3184880</f>
        <v>3184880</v>
      </c>
      <c r="R164" s="13"/>
      <c r="S164" s="13"/>
      <c r="T164" s="13"/>
      <c r="U164" s="83"/>
      <c r="V164" s="15"/>
      <c r="W164" s="14"/>
      <c r="X164" s="74">
        <f t="shared" si="72"/>
        <v>3184880</v>
      </c>
      <c r="Z164" s="17">
        <f t="shared" si="69"/>
        <v>3184880</v>
      </c>
      <c r="AA164" s="17">
        <f t="shared" si="70"/>
        <v>0</v>
      </c>
      <c r="AB164" s="18">
        <f t="shared" si="71"/>
        <v>3184880</v>
      </c>
    </row>
    <row r="165" spans="1:28" ht="15.75" customHeight="1" thickBot="1">
      <c r="A165" s="98" t="s">
        <v>168</v>
      </c>
      <c r="B165" s="17"/>
      <c r="C165" s="62"/>
      <c r="D165" s="17"/>
      <c r="E165" s="31"/>
      <c r="F165" s="31"/>
      <c r="G165" s="31"/>
      <c r="H165" s="31"/>
      <c r="I165" s="31"/>
      <c r="J165" s="31"/>
      <c r="K165" s="31"/>
      <c r="L165" s="31"/>
      <c r="M165" s="30"/>
      <c r="N165" s="30"/>
      <c r="O165" s="39"/>
      <c r="P165" s="39"/>
      <c r="Q165" s="31"/>
      <c r="R165" s="31"/>
      <c r="S165" s="31">
        <f>9291000-6173887</f>
        <v>3117113</v>
      </c>
      <c r="T165" s="31"/>
      <c r="U165" s="30"/>
      <c r="V165" s="30"/>
      <c r="W165" s="31"/>
      <c r="X165" s="74">
        <f t="shared" si="72"/>
        <v>3117113</v>
      </c>
      <c r="Z165" s="17">
        <f t="shared" si="69"/>
        <v>3117113</v>
      </c>
      <c r="AA165" s="17">
        <f t="shared" si="70"/>
        <v>0</v>
      </c>
      <c r="AB165" s="18">
        <f t="shared" si="71"/>
        <v>3117113</v>
      </c>
    </row>
    <row r="166" spans="1:28" ht="15.75" customHeight="1" thickBot="1">
      <c r="A166" s="189" t="s">
        <v>169</v>
      </c>
      <c r="B166" s="184">
        <f t="shared" ref="B166:AB166" si="73">SUM(B150:B165)</f>
        <v>0</v>
      </c>
      <c r="C166" s="184">
        <f t="shared" si="73"/>
        <v>0</v>
      </c>
      <c r="D166" s="184">
        <f t="shared" si="73"/>
        <v>0</v>
      </c>
      <c r="E166" s="184">
        <f t="shared" si="73"/>
        <v>0</v>
      </c>
      <c r="F166" s="184">
        <f t="shared" si="73"/>
        <v>0</v>
      </c>
      <c r="G166" s="184">
        <f t="shared" si="73"/>
        <v>0</v>
      </c>
      <c r="H166" s="184">
        <f t="shared" si="73"/>
        <v>0</v>
      </c>
      <c r="I166" s="184">
        <f t="shared" si="73"/>
        <v>0</v>
      </c>
      <c r="J166" s="184">
        <f t="shared" si="73"/>
        <v>0</v>
      </c>
      <c r="K166" s="184">
        <f t="shared" si="73"/>
        <v>0</v>
      </c>
      <c r="L166" s="184">
        <f t="shared" si="73"/>
        <v>0</v>
      </c>
      <c r="M166" s="184">
        <f t="shared" si="73"/>
        <v>0</v>
      </c>
      <c r="N166" s="184">
        <f t="shared" si="73"/>
        <v>0</v>
      </c>
      <c r="O166" s="184">
        <f t="shared" si="73"/>
        <v>0</v>
      </c>
      <c r="P166" s="184">
        <f t="shared" si="73"/>
        <v>0</v>
      </c>
      <c r="Q166" s="184">
        <f t="shared" si="73"/>
        <v>3184880</v>
      </c>
      <c r="R166" s="184">
        <f t="shared" si="73"/>
        <v>1463000</v>
      </c>
      <c r="S166" s="184">
        <f t="shared" si="73"/>
        <v>18040428</v>
      </c>
      <c r="T166" s="184">
        <f t="shared" si="73"/>
        <v>5351299</v>
      </c>
      <c r="U166" s="184">
        <f t="shared" si="73"/>
        <v>76289980</v>
      </c>
      <c r="V166" s="185">
        <f t="shared" si="73"/>
        <v>5535130</v>
      </c>
      <c r="W166" s="185">
        <f t="shared" si="73"/>
        <v>31963526</v>
      </c>
      <c r="X166" s="204">
        <f t="shared" si="73"/>
        <v>141828243</v>
      </c>
      <c r="Y166" s="204">
        <f t="shared" si="73"/>
        <v>0</v>
      </c>
      <c r="Z166" s="204">
        <f t="shared" si="73"/>
        <v>109864717</v>
      </c>
      <c r="AA166" s="204">
        <f t="shared" si="73"/>
        <v>31963526</v>
      </c>
      <c r="AB166" s="204">
        <f t="shared" si="73"/>
        <v>141828243</v>
      </c>
    </row>
    <row r="167" spans="1:28" ht="15" customHeight="1">
      <c r="A167" s="236" t="s">
        <v>170</v>
      </c>
      <c r="B167" s="47">
        <f t="shared" ref="B167:AB167" si="74">SUM(B172+B174+B179)</f>
        <v>0</v>
      </c>
      <c r="C167" s="47">
        <f t="shared" si="74"/>
        <v>0</v>
      </c>
      <c r="D167" s="47">
        <f t="shared" si="74"/>
        <v>0</v>
      </c>
      <c r="E167" s="47">
        <f t="shared" si="74"/>
        <v>0</v>
      </c>
      <c r="F167" s="47">
        <f t="shared" si="74"/>
        <v>0</v>
      </c>
      <c r="G167" s="47">
        <f t="shared" si="74"/>
        <v>1857374</v>
      </c>
      <c r="H167" s="47">
        <f t="shared" si="74"/>
        <v>2461665.2999999998</v>
      </c>
      <c r="I167" s="47">
        <f t="shared" si="74"/>
        <v>2577660</v>
      </c>
      <c r="J167" s="47">
        <f t="shared" si="74"/>
        <v>1915431</v>
      </c>
      <c r="K167" s="47">
        <f t="shared" si="74"/>
        <v>1943570</v>
      </c>
      <c r="L167" s="47">
        <f t="shared" si="74"/>
        <v>1676489</v>
      </c>
      <c r="M167" s="47">
        <f t="shared" si="74"/>
        <v>1750279</v>
      </c>
      <c r="N167" s="47">
        <f t="shared" si="74"/>
        <v>172554</v>
      </c>
      <c r="O167" s="47">
        <f t="shared" si="74"/>
        <v>1957128</v>
      </c>
      <c r="P167" s="47">
        <f t="shared" si="74"/>
        <v>0</v>
      </c>
      <c r="Q167" s="47">
        <f t="shared" si="74"/>
        <v>0</v>
      </c>
      <c r="R167" s="47">
        <f t="shared" si="74"/>
        <v>0</v>
      </c>
      <c r="S167" s="47">
        <f t="shared" si="74"/>
        <v>0</v>
      </c>
      <c r="T167" s="47">
        <f t="shared" si="74"/>
        <v>0</v>
      </c>
      <c r="U167" s="47">
        <f t="shared" si="74"/>
        <v>0</v>
      </c>
      <c r="V167" s="48">
        <f t="shared" si="74"/>
        <v>0</v>
      </c>
      <c r="W167" s="41"/>
      <c r="X167" s="202">
        <f t="shared" si="74"/>
        <v>18455150.300000001</v>
      </c>
      <c r="Y167" s="202">
        <f t="shared" si="74"/>
        <v>0</v>
      </c>
      <c r="Z167" s="202">
        <f t="shared" si="74"/>
        <v>16312150.300000001</v>
      </c>
      <c r="AA167" s="202">
        <f t="shared" si="74"/>
        <v>2143000</v>
      </c>
      <c r="AB167" s="202">
        <f t="shared" si="74"/>
        <v>18455150.300000001</v>
      </c>
    </row>
    <row r="168" spans="1:28">
      <c r="A168" s="127" t="s">
        <v>171</v>
      </c>
      <c r="B168" s="47"/>
      <c r="C168" s="105"/>
      <c r="D168" s="105"/>
      <c r="E168" s="106"/>
      <c r="F168" s="106"/>
      <c r="G168" s="106"/>
      <c r="H168" s="106"/>
      <c r="I168" s="107"/>
      <c r="J168" s="107"/>
      <c r="K168" s="107"/>
      <c r="L168" s="107"/>
      <c r="M168" s="30"/>
      <c r="N168" s="30"/>
      <c r="O168" s="31"/>
      <c r="P168" s="31"/>
      <c r="Q168" s="31"/>
      <c r="R168" s="31"/>
      <c r="S168" s="31"/>
      <c r="T168" s="31"/>
      <c r="U168" s="30"/>
      <c r="V168" s="30"/>
      <c r="W168" s="31"/>
      <c r="X168" s="237">
        <f>SUM(B168:P168)</f>
        <v>0</v>
      </c>
      <c r="Y168" s="237">
        <f t="shared" ref="Y168:AB168" si="75">SUM(C168:Q168)</f>
        <v>0</v>
      </c>
      <c r="Z168" s="237">
        <f t="shared" si="75"/>
        <v>0</v>
      </c>
      <c r="AA168" s="237">
        <f t="shared" si="75"/>
        <v>0</v>
      </c>
      <c r="AB168" s="237">
        <f t="shared" si="75"/>
        <v>0</v>
      </c>
    </row>
    <row r="169" spans="1:28" ht="15" customHeight="1">
      <c r="A169" s="104" t="s">
        <v>172</v>
      </c>
      <c r="B169" s="47"/>
      <c r="C169" s="105"/>
      <c r="D169" s="105"/>
      <c r="E169" s="106"/>
      <c r="F169" s="106"/>
      <c r="G169" s="106"/>
      <c r="H169" s="106"/>
      <c r="I169" s="107"/>
      <c r="J169" s="107"/>
      <c r="K169" s="107"/>
      <c r="L169" s="107"/>
      <c r="M169" s="30"/>
      <c r="N169" s="30"/>
      <c r="O169" s="31"/>
      <c r="P169" s="31"/>
      <c r="Q169" s="31">
        <v>0</v>
      </c>
      <c r="R169" s="31">
        <v>0</v>
      </c>
      <c r="S169" s="31">
        <v>0</v>
      </c>
      <c r="T169" s="31">
        <v>0</v>
      </c>
      <c r="U169" s="30">
        <v>0</v>
      </c>
      <c r="V169" s="30"/>
      <c r="W169" s="31">
        <v>755300</v>
      </c>
      <c r="X169" s="74">
        <f t="shared" ref="X169:X171" si="76">SUM(B169:W169)</f>
        <v>755300</v>
      </c>
      <c r="Z169" s="17">
        <f t="shared" ref="Z169:Z171" si="77">SUM(B169:V169)</f>
        <v>0</v>
      </c>
      <c r="AA169" s="17">
        <f t="shared" ref="AA169:AA171" si="78">+W169</f>
        <v>755300</v>
      </c>
      <c r="AB169" s="18">
        <f t="shared" ref="AB169:AB171" si="79">+Z169+AA169</f>
        <v>755300</v>
      </c>
    </row>
    <row r="170" spans="1:28" ht="15" customHeight="1">
      <c r="A170" s="108" t="s">
        <v>173</v>
      </c>
      <c r="B170" s="27"/>
      <c r="C170" s="27"/>
      <c r="D170" s="27"/>
      <c r="E170" s="28">
        <v>0</v>
      </c>
      <c r="F170" s="28">
        <v>0</v>
      </c>
      <c r="G170" s="28">
        <f>162525*5+131219+140812+149975+161865+162525*2+135828</f>
        <v>1857374</v>
      </c>
      <c r="H170" s="28">
        <f>+I170-I170*4.5%</f>
        <v>2461665.2999999998</v>
      </c>
      <c r="I170" s="29">
        <f>214805*12</f>
        <v>2577660</v>
      </c>
      <c r="J170" s="29">
        <f>172790+140536+140536+140535+337289+140535+140535+140535+140535+421605</f>
        <v>1915431</v>
      </c>
      <c r="K170" s="29">
        <f>1815768+127802</f>
        <v>1943570</v>
      </c>
      <c r="L170" s="29">
        <v>1676489</v>
      </c>
      <c r="M170" s="30">
        <f>163094*12-206849</f>
        <v>1750279</v>
      </c>
      <c r="N170" s="30">
        <v>172554</v>
      </c>
      <c r="O170" s="31">
        <f>163094*12</f>
        <v>1957128</v>
      </c>
      <c r="P170" s="31"/>
      <c r="Q170" s="31"/>
      <c r="R170" s="31"/>
      <c r="S170" s="31"/>
      <c r="T170" s="31"/>
      <c r="U170" s="30"/>
      <c r="V170" s="30">
        <v>0</v>
      </c>
      <c r="W170" s="31"/>
      <c r="X170" s="74">
        <f t="shared" si="76"/>
        <v>16312150.300000001</v>
      </c>
      <c r="Z170" s="17">
        <f t="shared" si="77"/>
        <v>16312150.300000001</v>
      </c>
      <c r="AA170" s="17">
        <f t="shared" si="78"/>
        <v>0</v>
      </c>
      <c r="AB170" s="18">
        <f t="shared" si="79"/>
        <v>16312150.300000001</v>
      </c>
    </row>
    <row r="171" spans="1:28" ht="15" customHeight="1" thickBot="1">
      <c r="A171" s="108" t="s">
        <v>174</v>
      </c>
      <c r="B171" s="27"/>
      <c r="C171" s="27"/>
      <c r="D171" s="27">
        <v>0</v>
      </c>
      <c r="E171" s="28">
        <v>0</v>
      </c>
      <c r="F171" s="28">
        <v>0</v>
      </c>
      <c r="G171" s="28"/>
      <c r="H171" s="28"/>
      <c r="I171" s="29"/>
      <c r="J171" s="29"/>
      <c r="K171" s="29"/>
      <c r="L171" s="29"/>
      <c r="M171" s="30"/>
      <c r="N171" s="30"/>
      <c r="O171" s="31"/>
      <c r="P171" s="31"/>
      <c r="Q171" s="31"/>
      <c r="R171" s="31">
        <v>0</v>
      </c>
      <c r="S171" s="31">
        <v>0</v>
      </c>
      <c r="T171" s="31">
        <v>0</v>
      </c>
      <c r="U171" s="30">
        <v>0</v>
      </c>
      <c r="V171" s="30"/>
      <c r="W171" s="39">
        <v>629300</v>
      </c>
      <c r="X171" s="74">
        <f t="shared" si="76"/>
        <v>629300</v>
      </c>
      <c r="Z171" s="17">
        <f t="shared" si="77"/>
        <v>0</v>
      </c>
      <c r="AA171" s="17">
        <f t="shared" si="78"/>
        <v>629300</v>
      </c>
      <c r="AB171" s="18">
        <f t="shared" si="79"/>
        <v>629300</v>
      </c>
    </row>
    <row r="172" spans="1:28" ht="15.75" customHeight="1" thickBot="1">
      <c r="A172" s="238" t="s">
        <v>175</v>
      </c>
      <c r="B172" s="239">
        <f t="shared" ref="B172:N172" si="80">SUM(B170:B171)</f>
        <v>0</v>
      </c>
      <c r="C172" s="42">
        <f t="shared" si="80"/>
        <v>0</v>
      </c>
      <c r="D172" s="42">
        <f t="shared" si="80"/>
        <v>0</v>
      </c>
      <c r="E172" s="42">
        <f t="shared" si="80"/>
        <v>0</v>
      </c>
      <c r="F172" s="42">
        <f t="shared" si="80"/>
        <v>0</v>
      </c>
      <c r="G172" s="42">
        <f t="shared" si="80"/>
        <v>1857374</v>
      </c>
      <c r="H172" s="42">
        <f t="shared" si="80"/>
        <v>2461665.2999999998</v>
      </c>
      <c r="I172" s="42">
        <f t="shared" si="80"/>
        <v>2577660</v>
      </c>
      <c r="J172" s="42">
        <f t="shared" si="80"/>
        <v>1915431</v>
      </c>
      <c r="K172" s="42">
        <f t="shared" si="80"/>
        <v>1943570</v>
      </c>
      <c r="L172" s="240">
        <f t="shared" si="80"/>
        <v>1676489</v>
      </c>
      <c r="M172" s="179">
        <f t="shared" si="80"/>
        <v>1750279</v>
      </c>
      <c r="N172" s="179">
        <f t="shared" si="80"/>
        <v>172554</v>
      </c>
      <c r="O172" s="190">
        <f t="shared" ref="O172:W172" si="81">SUM(O169:O171)</f>
        <v>1957128</v>
      </c>
      <c r="P172" s="190">
        <f t="shared" si="81"/>
        <v>0</v>
      </c>
      <c r="Q172" s="190">
        <f t="shared" si="81"/>
        <v>0</v>
      </c>
      <c r="R172" s="190">
        <f t="shared" si="81"/>
        <v>0</v>
      </c>
      <c r="S172" s="190">
        <f t="shared" si="81"/>
        <v>0</v>
      </c>
      <c r="T172" s="190">
        <f t="shared" si="81"/>
        <v>0</v>
      </c>
      <c r="U172" s="190">
        <f t="shared" si="81"/>
        <v>0</v>
      </c>
      <c r="V172" s="191">
        <f t="shared" si="81"/>
        <v>0</v>
      </c>
      <c r="W172" s="178">
        <f t="shared" si="81"/>
        <v>1384600</v>
      </c>
      <c r="X172" s="241">
        <f>SUM(X169:X171)</f>
        <v>17696750.300000001</v>
      </c>
      <c r="Y172" s="241">
        <f t="shared" ref="Y172:AB172" si="82">SUM(Y169:Y171)</f>
        <v>0</v>
      </c>
      <c r="Z172" s="241">
        <f t="shared" si="82"/>
        <v>16312150.300000001</v>
      </c>
      <c r="AA172" s="241">
        <f t="shared" si="82"/>
        <v>1384600</v>
      </c>
      <c r="AB172" s="241">
        <f t="shared" si="82"/>
        <v>17696750.300000001</v>
      </c>
    </row>
    <row r="173" spans="1:28">
      <c r="A173" s="127" t="s">
        <v>176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242"/>
      <c r="M173" s="49"/>
      <c r="N173" s="49"/>
      <c r="O173" s="201">
        <v>0</v>
      </c>
      <c r="P173" s="201"/>
      <c r="Q173" s="201"/>
      <c r="R173" s="201"/>
      <c r="S173" s="201">
        <v>0</v>
      </c>
      <c r="T173" s="201">
        <f>+T174</f>
        <v>0</v>
      </c>
      <c r="U173" s="49"/>
      <c r="V173" s="50"/>
      <c r="W173" s="41"/>
      <c r="X173" s="176">
        <f>+T173</f>
        <v>0</v>
      </c>
      <c r="Y173" s="176">
        <f t="shared" ref="Y173:AB173" si="83">+U173</f>
        <v>0</v>
      </c>
      <c r="Z173" s="176">
        <f t="shared" si="83"/>
        <v>0</v>
      </c>
      <c r="AA173" s="176">
        <f t="shared" si="83"/>
        <v>0</v>
      </c>
      <c r="AB173" s="176">
        <f t="shared" si="83"/>
        <v>0</v>
      </c>
    </row>
    <row r="174" spans="1:28">
      <c r="A174" s="109" t="s">
        <v>177</v>
      </c>
      <c r="B174" s="42">
        <f t="shared" ref="B174:S174" si="84">+B173</f>
        <v>0</v>
      </c>
      <c r="C174" s="42">
        <f t="shared" si="84"/>
        <v>0</v>
      </c>
      <c r="D174" s="42">
        <f t="shared" si="84"/>
        <v>0</v>
      </c>
      <c r="E174" s="42">
        <f t="shared" si="84"/>
        <v>0</v>
      </c>
      <c r="F174" s="42">
        <f t="shared" si="84"/>
        <v>0</v>
      </c>
      <c r="G174" s="42">
        <f t="shared" si="84"/>
        <v>0</v>
      </c>
      <c r="H174" s="42">
        <f t="shared" si="84"/>
        <v>0</v>
      </c>
      <c r="I174" s="42">
        <f t="shared" si="84"/>
        <v>0</v>
      </c>
      <c r="J174" s="42">
        <f t="shared" si="84"/>
        <v>0</v>
      </c>
      <c r="K174" s="42">
        <f t="shared" si="84"/>
        <v>0</v>
      </c>
      <c r="L174" s="42">
        <f t="shared" si="84"/>
        <v>0</v>
      </c>
      <c r="M174" s="240">
        <f t="shared" si="84"/>
        <v>0</v>
      </c>
      <c r="N174" s="240">
        <f t="shared" si="84"/>
        <v>0</v>
      </c>
      <c r="O174" s="41">
        <f t="shared" si="84"/>
        <v>0</v>
      </c>
      <c r="P174" s="41">
        <f t="shared" si="84"/>
        <v>0</v>
      </c>
      <c r="Q174" s="41">
        <f t="shared" si="84"/>
        <v>0</v>
      </c>
      <c r="R174" s="41">
        <f t="shared" si="84"/>
        <v>0</v>
      </c>
      <c r="S174" s="41">
        <f t="shared" si="84"/>
        <v>0</v>
      </c>
      <c r="T174" s="41">
        <v>0</v>
      </c>
      <c r="U174" s="41">
        <v>0</v>
      </c>
      <c r="V174" s="50">
        <v>0</v>
      </c>
      <c r="W174" s="41"/>
      <c r="X174" s="243">
        <v>0</v>
      </c>
      <c r="Y174" s="243"/>
      <c r="Z174" s="243">
        <v>0</v>
      </c>
      <c r="AA174" s="243">
        <v>0</v>
      </c>
      <c r="AB174" s="243">
        <v>0</v>
      </c>
    </row>
    <row r="175" spans="1:28">
      <c r="A175" s="109" t="s">
        <v>178</v>
      </c>
      <c r="B175" s="27"/>
      <c r="C175" s="27"/>
      <c r="D175" s="27"/>
      <c r="E175" s="28"/>
      <c r="F175" s="28"/>
      <c r="G175" s="28"/>
      <c r="H175" s="28"/>
      <c r="I175" s="28"/>
      <c r="J175" s="28"/>
      <c r="K175" s="28"/>
      <c r="L175" s="110"/>
      <c r="M175" s="30"/>
      <c r="N175" s="30"/>
      <c r="O175" s="31"/>
      <c r="P175" s="31"/>
      <c r="Q175" s="31"/>
      <c r="R175" s="31"/>
      <c r="S175" s="31"/>
      <c r="T175" s="31"/>
      <c r="U175" s="30"/>
      <c r="V175" s="30"/>
      <c r="W175" s="31"/>
      <c r="X175" s="74">
        <f>SUM(B175:V175)</f>
        <v>0</v>
      </c>
      <c r="Z175" s="17">
        <f t="shared" ref="Z175:Z178" si="85">SUM(B175:V175)</f>
        <v>0</v>
      </c>
      <c r="AA175" s="17">
        <f t="shared" ref="AA175:AA178" si="86">+W175</f>
        <v>0</v>
      </c>
      <c r="AB175" s="18">
        <f t="shared" ref="AB175:AB178" si="87">+Z175+AA175</f>
        <v>0</v>
      </c>
    </row>
    <row r="176" spans="1:28" ht="15" customHeight="1">
      <c r="A176" s="108" t="s">
        <v>179</v>
      </c>
      <c r="B176" s="27"/>
      <c r="C176" s="27"/>
      <c r="D176" s="27"/>
      <c r="E176" s="28"/>
      <c r="F176" s="28"/>
      <c r="G176" s="28"/>
      <c r="H176" s="28">
        <v>0</v>
      </c>
      <c r="I176" s="28"/>
      <c r="J176" s="28">
        <v>0</v>
      </c>
      <c r="K176" s="28">
        <v>0</v>
      </c>
      <c r="L176" s="110"/>
      <c r="M176" s="30">
        <v>0</v>
      </c>
      <c r="N176" s="30"/>
      <c r="O176" s="31"/>
      <c r="P176" s="31"/>
      <c r="Q176" s="31"/>
      <c r="R176" s="31">
        <v>0</v>
      </c>
      <c r="S176" s="31">
        <v>0</v>
      </c>
      <c r="T176" s="31">
        <v>0</v>
      </c>
      <c r="U176" s="30">
        <v>0</v>
      </c>
      <c r="V176" s="30"/>
      <c r="W176" s="31">
        <v>337000</v>
      </c>
      <c r="X176" s="74">
        <f t="shared" ref="X176:X178" si="88">SUM(B176:W176)</f>
        <v>337000</v>
      </c>
      <c r="Z176" s="17">
        <f t="shared" si="85"/>
        <v>0</v>
      </c>
      <c r="AA176" s="17">
        <f t="shared" si="86"/>
        <v>337000</v>
      </c>
      <c r="AB176" s="18">
        <f t="shared" si="87"/>
        <v>337000</v>
      </c>
    </row>
    <row r="177" spans="1:28" ht="15" customHeight="1">
      <c r="A177" s="108" t="s">
        <v>180</v>
      </c>
      <c r="B177" s="27"/>
      <c r="C177" s="27"/>
      <c r="D177" s="27"/>
      <c r="E177" s="28">
        <v>0</v>
      </c>
      <c r="F177" s="28">
        <v>0</v>
      </c>
      <c r="G177" s="28"/>
      <c r="H177" s="28">
        <v>0</v>
      </c>
      <c r="I177" s="28"/>
      <c r="J177" s="28">
        <f>362981+372842+397033+372842+353594+376229+359152+591586-726437-2459822</f>
        <v>0</v>
      </c>
      <c r="K177" s="34">
        <v>0</v>
      </c>
      <c r="L177" s="111"/>
      <c r="M177" s="40">
        <v>0</v>
      </c>
      <c r="N177" s="30">
        <v>0</v>
      </c>
      <c r="O177" s="31">
        <v>0</v>
      </c>
      <c r="P177" s="31"/>
      <c r="Q177" s="31"/>
      <c r="R177" s="31">
        <v>0</v>
      </c>
      <c r="S177" s="31">
        <v>0</v>
      </c>
      <c r="T177" s="31">
        <v>0</v>
      </c>
      <c r="U177" s="30">
        <v>0</v>
      </c>
      <c r="V177" s="30"/>
      <c r="W177" s="31">
        <v>252800</v>
      </c>
      <c r="X177" s="74">
        <f t="shared" si="88"/>
        <v>252800</v>
      </c>
      <c r="Z177" s="17">
        <f t="shared" si="85"/>
        <v>0</v>
      </c>
      <c r="AA177" s="17">
        <f t="shared" si="86"/>
        <v>252800</v>
      </c>
      <c r="AB177" s="18">
        <f t="shared" si="87"/>
        <v>252800</v>
      </c>
    </row>
    <row r="178" spans="1:28" ht="15.75" customHeight="1" thickBot="1">
      <c r="A178" s="108" t="s">
        <v>181</v>
      </c>
      <c r="B178" s="27"/>
      <c r="C178" s="27"/>
      <c r="D178" s="27"/>
      <c r="E178" s="28">
        <v>0</v>
      </c>
      <c r="F178" s="112"/>
      <c r="G178" s="28"/>
      <c r="H178" s="28"/>
      <c r="I178" s="112"/>
      <c r="J178" s="29">
        <v>0</v>
      </c>
      <c r="K178" s="31">
        <v>0</v>
      </c>
      <c r="L178" s="31"/>
      <c r="M178" s="31"/>
      <c r="N178" s="30"/>
      <c r="O178" s="39">
        <v>0</v>
      </c>
      <c r="P178" s="39"/>
      <c r="Q178" s="39"/>
      <c r="R178" s="39">
        <v>0</v>
      </c>
      <c r="S178" s="39">
        <v>0</v>
      </c>
      <c r="T178" s="39">
        <v>0</v>
      </c>
      <c r="U178" s="40">
        <v>0</v>
      </c>
      <c r="V178" s="40"/>
      <c r="W178" s="31">
        <v>168600</v>
      </c>
      <c r="X178" s="74">
        <f t="shared" si="88"/>
        <v>168600</v>
      </c>
      <c r="Z178" s="17">
        <f t="shared" si="85"/>
        <v>0</v>
      </c>
      <c r="AA178" s="17">
        <f t="shared" si="86"/>
        <v>168600</v>
      </c>
      <c r="AB178" s="18">
        <f t="shared" si="87"/>
        <v>168600</v>
      </c>
    </row>
    <row r="179" spans="1:28" ht="15.75" customHeight="1" thickBot="1">
      <c r="A179" s="244" t="s">
        <v>182</v>
      </c>
      <c r="B179" s="207">
        <f>SUM(B176:B178)</f>
        <v>0</v>
      </c>
      <c r="C179" s="207">
        <f t="shared" ref="C179:AB179" si="89">SUM(C176:C178)</f>
        <v>0</v>
      </c>
      <c r="D179" s="207">
        <f t="shared" si="89"/>
        <v>0</v>
      </c>
      <c r="E179" s="207">
        <f t="shared" si="89"/>
        <v>0</v>
      </c>
      <c r="F179" s="207">
        <f t="shared" si="89"/>
        <v>0</v>
      </c>
      <c r="G179" s="207">
        <f t="shared" si="89"/>
        <v>0</v>
      </c>
      <c r="H179" s="207">
        <f t="shared" si="89"/>
        <v>0</v>
      </c>
      <c r="I179" s="207">
        <f t="shared" si="89"/>
        <v>0</v>
      </c>
      <c r="J179" s="207">
        <f t="shared" si="89"/>
        <v>0</v>
      </c>
      <c r="K179" s="207">
        <f t="shared" si="89"/>
        <v>0</v>
      </c>
      <c r="L179" s="207">
        <f t="shared" si="89"/>
        <v>0</v>
      </c>
      <c r="M179" s="207">
        <f t="shared" si="89"/>
        <v>0</v>
      </c>
      <c r="N179" s="208">
        <f t="shared" si="89"/>
        <v>0</v>
      </c>
      <c r="O179" s="186">
        <f t="shared" si="89"/>
        <v>0</v>
      </c>
      <c r="P179" s="190">
        <f t="shared" si="89"/>
        <v>0</v>
      </c>
      <c r="Q179" s="190">
        <f t="shared" si="89"/>
        <v>0</v>
      </c>
      <c r="R179" s="190">
        <f t="shared" si="89"/>
        <v>0</v>
      </c>
      <c r="S179" s="191">
        <f t="shared" si="89"/>
        <v>0</v>
      </c>
      <c r="T179" s="186">
        <f t="shared" si="89"/>
        <v>0</v>
      </c>
      <c r="U179" s="191">
        <f t="shared" si="89"/>
        <v>0</v>
      </c>
      <c r="V179" s="191">
        <f>SUM(V176:V178)</f>
        <v>0</v>
      </c>
      <c r="W179" s="222">
        <f t="shared" si="89"/>
        <v>758400</v>
      </c>
      <c r="X179" s="187">
        <f t="shared" si="89"/>
        <v>758400</v>
      </c>
      <c r="Y179" s="187">
        <f t="shared" si="89"/>
        <v>0</v>
      </c>
      <c r="Z179" s="187">
        <f t="shared" si="89"/>
        <v>0</v>
      </c>
      <c r="AA179" s="187">
        <f t="shared" si="89"/>
        <v>758400</v>
      </c>
      <c r="AB179" s="187">
        <f t="shared" si="89"/>
        <v>758400</v>
      </c>
    </row>
    <row r="180" spans="1:28">
      <c r="A180" s="245" t="s">
        <v>183</v>
      </c>
      <c r="B180" s="211"/>
      <c r="C180" s="211"/>
      <c r="D180" s="211"/>
      <c r="E180" s="246"/>
      <c r="F180" s="247"/>
      <c r="G180" s="248"/>
      <c r="H180" s="249"/>
      <c r="I180" s="249"/>
      <c r="J180" s="249"/>
      <c r="K180" s="249"/>
      <c r="L180" s="250"/>
      <c r="M180" s="251"/>
      <c r="N180" s="251"/>
      <c r="O180" s="146"/>
      <c r="P180" s="146"/>
      <c r="Q180" s="146"/>
      <c r="R180" s="146"/>
      <c r="S180" s="146"/>
      <c r="T180" s="146"/>
      <c r="U180" s="145"/>
      <c r="V180" s="145"/>
      <c r="W180" s="86"/>
      <c r="X180" s="176">
        <f>SUM(B180:O180)</f>
        <v>0</v>
      </c>
      <c r="Y180" s="176">
        <f t="shared" ref="Y180:AB180" si="90">SUM(C180:P180)</f>
        <v>0</v>
      </c>
      <c r="Z180" s="176">
        <f t="shared" si="90"/>
        <v>0</v>
      </c>
      <c r="AA180" s="176">
        <f t="shared" si="90"/>
        <v>0</v>
      </c>
      <c r="AB180" s="176">
        <f t="shared" si="90"/>
        <v>0</v>
      </c>
    </row>
    <row r="181" spans="1:28" ht="15" customHeight="1">
      <c r="A181" s="113" t="s">
        <v>184</v>
      </c>
      <c r="B181" s="41"/>
      <c r="C181" s="41"/>
      <c r="D181" s="41"/>
      <c r="E181" s="86"/>
      <c r="F181" s="86"/>
      <c r="G181" s="86"/>
      <c r="H181" s="86"/>
      <c r="I181" s="86"/>
      <c r="J181" s="86"/>
      <c r="K181" s="86"/>
      <c r="L181" s="86"/>
      <c r="M181" s="31"/>
      <c r="N181" s="31"/>
      <c r="O181" s="31">
        <v>0</v>
      </c>
      <c r="P181" s="31"/>
      <c r="Q181" s="31"/>
      <c r="R181" s="31"/>
      <c r="S181" s="31"/>
      <c r="T181" s="31"/>
      <c r="U181" s="30">
        <f>1500070+1353720+1365570+1699290+1567470+1464310+1438830</f>
        <v>10389260</v>
      </c>
      <c r="V181" s="30">
        <f>3342300+1464780+1398670+1198420-1008670+1010980-2157580</f>
        <v>5248900</v>
      </c>
      <c r="W181" s="31"/>
      <c r="X181" s="74">
        <f>SUM(B181:W181)</f>
        <v>15638160</v>
      </c>
      <c r="Z181" s="17">
        <f t="shared" ref="Z181:Z185" si="91">SUM(B181:V181)</f>
        <v>15638160</v>
      </c>
      <c r="AA181" s="17">
        <f t="shared" ref="AA181:AA185" si="92">+W181</f>
        <v>0</v>
      </c>
      <c r="AB181" s="18">
        <f t="shared" ref="AB181:AB185" si="93">+Z181+AA181</f>
        <v>15638160</v>
      </c>
    </row>
    <row r="182" spans="1:28" ht="15" customHeight="1">
      <c r="A182" s="114" t="s">
        <v>185</v>
      </c>
      <c r="B182" s="41"/>
      <c r="C182" s="41"/>
      <c r="D182" s="41"/>
      <c r="E182" s="86"/>
      <c r="F182" s="86"/>
      <c r="G182" s="86"/>
      <c r="H182" s="86"/>
      <c r="I182" s="86"/>
      <c r="J182" s="86"/>
      <c r="K182" s="86"/>
      <c r="L182" s="86"/>
      <c r="M182" s="31"/>
      <c r="N182" s="31"/>
      <c r="O182" s="39"/>
      <c r="P182" s="39"/>
      <c r="Q182" s="39"/>
      <c r="R182" s="39"/>
      <c r="S182" s="39"/>
      <c r="T182" s="39"/>
      <c r="U182" s="40"/>
      <c r="V182" s="30">
        <f>865950+975230-1841180</f>
        <v>0</v>
      </c>
      <c r="W182" s="31">
        <v>1067770</v>
      </c>
      <c r="X182" s="74">
        <f t="shared" ref="X182:X185" si="94">SUM(B182:W182)</f>
        <v>1067770</v>
      </c>
      <c r="Z182" s="17">
        <f t="shared" si="91"/>
        <v>0</v>
      </c>
      <c r="AA182" s="17">
        <f t="shared" si="92"/>
        <v>1067770</v>
      </c>
      <c r="AB182" s="18">
        <f t="shared" si="93"/>
        <v>1067770</v>
      </c>
    </row>
    <row r="183" spans="1:28" ht="15" customHeight="1">
      <c r="A183" s="114" t="s">
        <v>186</v>
      </c>
      <c r="B183" s="41"/>
      <c r="C183" s="41"/>
      <c r="D183" s="41"/>
      <c r="E183" s="86"/>
      <c r="F183" s="86"/>
      <c r="G183" s="86"/>
      <c r="H183" s="86"/>
      <c r="I183" s="86"/>
      <c r="J183" s="86"/>
      <c r="K183" s="86"/>
      <c r="L183" s="86"/>
      <c r="M183" s="31"/>
      <c r="N183" s="31"/>
      <c r="O183" s="39"/>
      <c r="P183" s="39"/>
      <c r="Q183" s="39"/>
      <c r="R183" s="39"/>
      <c r="S183" s="39"/>
      <c r="T183" s="39"/>
      <c r="U183" s="40"/>
      <c r="V183" s="30"/>
      <c r="W183" s="31">
        <v>124950</v>
      </c>
      <c r="X183" s="74">
        <f t="shared" si="94"/>
        <v>124950</v>
      </c>
      <c r="Z183" s="17">
        <f t="shared" si="91"/>
        <v>0</v>
      </c>
      <c r="AA183" s="17">
        <f t="shared" si="92"/>
        <v>124950</v>
      </c>
      <c r="AB183" s="18">
        <f t="shared" si="93"/>
        <v>124950</v>
      </c>
    </row>
    <row r="184" spans="1:28" ht="15" customHeight="1">
      <c r="A184" s="114" t="s">
        <v>187</v>
      </c>
      <c r="B184" s="41"/>
      <c r="C184" s="41"/>
      <c r="D184" s="41"/>
      <c r="E184" s="86"/>
      <c r="F184" s="86"/>
      <c r="G184" s="86"/>
      <c r="H184" s="86"/>
      <c r="I184" s="86"/>
      <c r="J184" s="86"/>
      <c r="K184" s="86"/>
      <c r="L184" s="86"/>
      <c r="M184" s="31"/>
      <c r="N184" s="14"/>
      <c r="O184" s="13"/>
      <c r="P184" s="13"/>
      <c r="Q184" s="13"/>
      <c r="R184" s="13">
        <v>0</v>
      </c>
      <c r="S184" s="13">
        <v>0</v>
      </c>
      <c r="T184" s="13">
        <v>0</v>
      </c>
      <c r="U184" s="83">
        <v>0</v>
      </c>
      <c r="V184" s="15">
        <v>369000</v>
      </c>
      <c r="W184" s="14">
        <v>592000</v>
      </c>
      <c r="X184" s="74">
        <f t="shared" si="94"/>
        <v>961000</v>
      </c>
      <c r="Y184" s="115"/>
      <c r="Z184" s="17">
        <f t="shared" si="91"/>
        <v>369000</v>
      </c>
      <c r="AA184" s="17">
        <f t="shared" si="92"/>
        <v>592000</v>
      </c>
      <c r="AB184" s="18">
        <f t="shared" si="93"/>
        <v>961000</v>
      </c>
    </row>
    <row r="185" spans="1:28" ht="15.75" customHeight="1" thickBot="1">
      <c r="A185" s="81" t="s">
        <v>188</v>
      </c>
      <c r="B185" s="41"/>
      <c r="C185" s="41"/>
      <c r="D185" s="41"/>
      <c r="E185" s="86"/>
      <c r="F185" s="86"/>
      <c r="G185" s="86"/>
      <c r="H185" s="86"/>
      <c r="I185" s="86"/>
      <c r="J185" s="86"/>
      <c r="K185" s="86"/>
      <c r="L185" s="86"/>
      <c r="M185" s="31"/>
      <c r="N185" s="14"/>
      <c r="O185" s="13"/>
      <c r="P185" s="13"/>
      <c r="Q185" s="13"/>
      <c r="R185" s="13">
        <v>0</v>
      </c>
      <c r="S185" s="13">
        <v>0</v>
      </c>
      <c r="T185" s="13">
        <v>0</v>
      </c>
      <c r="U185" s="83">
        <v>0</v>
      </c>
      <c r="V185" s="15">
        <f>1280000-1280000</f>
        <v>0</v>
      </c>
      <c r="W185" s="14">
        <v>180000</v>
      </c>
      <c r="X185" s="74">
        <f t="shared" si="94"/>
        <v>180000</v>
      </c>
      <c r="Y185" s="115"/>
      <c r="Z185" s="17">
        <f t="shared" si="91"/>
        <v>0</v>
      </c>
      <c r="AA185" s="17">
        <f t="shared" si="92"/>
        <v>180000</v>
      </c>
      <c r="AB185" s="18">
        <f t="shared" si="93"/>
        <v>180000</v>
      </c>
    </row>
    <row r="186" spans="1:28" ht="15.75" customHeight="1" thickBot="1">
      <c r="A186" s="203" t="s">
        <v>189</v>
      </c>
      <c r="B186" s="252">
        <f t="shared" ref="B186:W186" si="95">SUM(B180:B185)</f>
        <v>0</v>
      </c>
      <c r="C186" s="252">
        <f t="shared" si="95"/>
        <v>0</v>
      </c>
      <c r="D186" s="252">
        <f t="shared" si="95"/>
        <v>0</v>
      </c>
      <c r="E186" s="252">
        <f t="shared" si="95"/>
        <v>0</v>
      </c>
      <c r="F186" s="252">
        <f t="shared" si="95"/>
        <v>0</v>
      </c>
      <c r="G186" s="252">
        <f t="shared" si="95"/>
        <v>0</v>
      </c>
      <c r="H186" s="252">
        <f t="shared" si="95"/>
        <v>0</v>
      </c>
      <c r="I186" s="252">
        <f t="shared" si="95"/>
        <v>0</v>
      </c>
      <c r="J186" s="252">
        <f t="shared" si="95"/>
        <v>0</v>
      </c>
      <c r="K186" s="252">
        <f t="shared" si="95"/>
        <v>0</v>
      </c>
      <c r="L186" s="252">
        <f t="shared" si="95"/>
        <v>0</v>
      </c>
      <c r="M186" s="252">
        <f t="shared" si="95"/>
        <v>0</v>
      </c>
      <c r="N186" s="252">
        <f t="shared" si="95"/>
        <v>0</v>
      </c>
      <c r="O186" s="253">
        <f t="shared" si="95"/>
        <v>0</v>
      </c>
      <c r="P186" s="253">
        <f t="shared" si="95"/>
        <v>0</v>
      </c>
      <c r="Q186" s="253">
        <f t="shared" si="95"/>
        <v>0</v>
      </c>
      <c r="R186" s="253">
        <f t="shared" si="95"/>
        <v>0</v>
      </c>
      <c r="S186" s="253">
        <f t="shared" si="95"/>
        <v>0</v>
      </c>
      <c r="T186" s="253">
        <f t="shared" si="95"/>
        <v>0</v>
      </c>
      <c r="U186" s="253">
        <f t="shared" si="95"/>
        <v>10389260</v>
      </c>
      <c r="V186" s="179">
        <f t="shared" si="95"/>
        <v>5617900</v>
      </c>
      <c r="W186" s="179">
        <f t="shared" si="95"/>
        <v>1964720</v>
      </c>
      <c r="X186" s="204">
        <f>SUM(X180:X185)</f>
        <v>17971880</v>
      </c>
      <c r="Y186" s="204">
        <f t="shared" ref="Y186:AB186" si="96">SUM(Y180:Y185)</f>
        <v>0</v>
      </c>
      <c r="Z186" s="204">
        <f t="shared" si="96"/>
        <v>16007160</v>
      </c>
      <c r="AA186" s="204">
        <f t="shared" si="96"/>
        <v>1964720</v>
      </c>
      <c r="AB186" s="204">
        <f t="shared" si="96"/>
        <v>17971880</v>
      </c>
    </row>
    <row r="187" spans="1:28">
      <c r="A187" s="126" t="s">
        <v>190</v>
      </c>
      <c r="B187" s="254"/>
      <c r="C187" s="47"/>
      <c r="D187" s="47"/>
      <c r="E187" s="47"/>
      <c r="F187" s="105"/>
      <c r="G187" s="105"/>
      <c r="H187" s="105"/>
      <c r="I187" s="119"/>
      <c r="J187" s="121"/>
      <c r="K187" s="121"/>
      <c r="L187" s="41"/>
      <c r="M187" s="41"/>
      <c r="N187" s="41"/>
      <c r="O187" s="201"/>
      <c r="P187" s="201"/>
      <c r="Q187" s="201"/>
      <c r="R187" s="201"/>
      <c r="S187" s="201"/>
      <c r="T187" s="201"/>
      <c r="U187" s="49"/>
      <c r="V187" s="50"/>
      <c r="W187" s="41"/>
      <c r="X187" s="74">
        <f t="shared" ref="X187:AB191" si="97">SUM(B187:W187)</f>
        <v>0</v>
      </c>
      <c r="Y187" s="74">
        <f t="shared" si="97"/>
        <v>0</v>
      </c>
      <c r="Z187" s="74">
        <f t="shared" si="97"/>
        <v>0</v>
      </c>
      <c r="AA187" s="74">
        <f t="shared" si="97"/>
        <v>0</v>
      </c>
      <c r="AB187" s="74">
        <f t="shared" si="97"/>
        <v>0</v>
      </c>
    </row>
    <row r="188" spans="1:28">
      <c r="A188" s="81" t="s">
        <v>191</v>
      </c>
      <c r="B188" s="116"/>
      <c r="C188" s="117"/>
      <c r="D188" s="117"/>
      <c r="E188" s="117"/>
      <c r="F188" s="118"/>
      <c r="G188" s="118"/>
      <c r="H188" s="119"/>
      <c r="I188" s="120"/>
      <c r="J188" s="121"/>
      <c r="K188" s="121"/>
      <c r="L188" s="41"/>
      <c r="M188" s="41"/>
      <c r="N188" s="41"/>
      <c r="O188" s="41"/>
      <c r="P188" s="41"/>
      <c r="Q188" s="41"/>
      <c r="R188" s="41"/>
      <c r="S188" s="41">
        <v>0</v>
      </c>
      <c r="T188" s="41">
        <v>0</v>
      </c>
      <c r="U188" s="50"/>
      <c r="V188" s="50">
        <v>0</v>
      </c>
      <c r="W188" s="41">
        <v>0</v>
      </c>
      <c r="X188" s="74">
        <f t="shared" si="97"/>
        <v>0</v>
      </c>
      <c r="Z188" s="17">
        <f t="shared" ref="Z188:Z192" si="98">SUM(B188:V188)</f>
        <v>0</v>
      </c>
      <c r="AA188" s="17">
        <f t="shared" ref="AA188:AA192" si="99">+W188</f>
        <v>0</v>
      </c>
      <c r="AB188" s="18">
        <f t="shared" ref="AB188:AB192" si="100">+Z188+AA188</f>
        <v>0</v>
      </c>
    </row>
    <row r="189" spans="1:28">
      <c r="A189" s="122" t="s">
        <v>101</v>
      </c>
      <c r="B189" s="123"/>
      <c r="C189" s="44"/>
      <c r="D189" s="44"/>
      <c r="E189" s="44"/>
      <c r="F189" s="33"/>
      <c r="G189" s="33"/>
      <c r="H189" s="124"/>
      <c r="I189" s="38"/>
      <c r="J189" s="38"/>
      <c r="K189" s="38"/>
      <c r="L189" s="51"/>
      <c r="M189" s="52">
        <v>0</v>
      </c>
      <c r="N189" s="125">
        <f>154805+154805+154805+154805+154808+154805+154805+174729+174729+349458-154805-154805-154805-154805-154808-154805-154808-174729-524184</f>
        <v>0</v>
      </c>
      <c r="O189" s="38">
        <v>0</v>
      </c>
      <c r="P189" s="38"/>
      <c r="Q189" s="38"/>
      <c r="R189" s="38"/>
      <c r="S189" s="51">
        <v>0</v>
      </c>
      <c r="T189" s="51">
        <v>0</v>
      </c>
      <c r="U189" s="52"/>
      <c r="V189" s="50">
        <v>0</v>
      </c>
      <c r="W189" s="17">
        <v>0</v>
      </c>
      <c r="X189" s="74">
        <f t="shared" si="97"/>
        <v>0</v>
      </c>
      <c r="Z189" s="17">
        <f t="shared" si="98"/>
        <v>0</v>
      </c>
      <c r="AA189" s="17">
        <f t="shared" si="99"/>
        <v>0</v>
      </c>
      <c r="AB189" s="18">
        <f t="shared" si="100"/>
        <v>0</v>
      </c>
    </row>
    <row r="190" spans="1:28">
      <c r="A190" s="126" t="s">
        <v>192</v>
      </c>
      <c r="B190" s="41">
        <f t="shared" ref="B190:V190" si="101">+B188+B189</f>
        <v>0</v>
      </c>
      <c r="C190" s="41">
        <f t="shared" si="101"/>
        <v>0</v>
      </c>
      <c r="D190" s="41">
        <f t="shared" si="101"/>
        <v>0</v>
      </c>
      <c r="E190" s="41">
        <f t="shared" si="101"/>
        <v>0</v>
      </c>
      <c r="F190" s="41">
        <f t="shared" si="101"/>
        <v>0</v>
      </c>
      <c r="G190" s="41">
        <f t="shared" si="101"/>
        <v>0</v>
      </c>
      <c r="H190" s="41">
        <f t="shared" si="101"/>
        <v>0</v>
      </c>
      <c r="I190" s="41">
        <f t="shared" si="101"/>
        <v>0</v>
      </c>
      <c r="J190" s="41">
        <f t="shared" si="101"/>
        <v>0</v>
      </c>
      <c r="K190" s="41">
        <f t="shared" si="101"/>
        <v>0</v>
      </c>
      <c r="L190" s="41">
        <f t="shared" si="101"/>
        <v>0</v>
      </c>
      <c r="M190" s="41">
        <f t="shared" si="101"/>
        <v>0</v>
      </c>
      <c r="N190" s="41">
        <f t="shared" si="101"/>
        <v>0</v>
      </c>
      <c r="O190" s="41">
        <f t="shared" si="101"/>
        <v>0</v>
      </c>
      <c r="P190" s="41">
        <f t="shared" si="101"/>
        <v>0</v>
      </c>
      <c r="Q190" s="41">
        <f t="shared" si="101"/>
        <v>0</v>
      </c>
      <c r="R190" s="41">
        <f t="shared" si="101"/>
        <v>0</v>
      </c>
      <c r="S190" s="41">
        <f t="shared" si="101"/>
        <v>0</v>
      </c>
      <c r="T190" s="41">
        <f t="shared" si="101"/>
        <v>0</v>
      </c>
      <c r="U190" s="41">
        <f t="shared" si="101"/>
        <v>0</v>
      </c>
      <c r="V190" s="50">
        <f t="shared" si="101"/>
        <v>0</v>
      </c>
      <c r="W190" s="41"/>
      <c r="X190" s="74">
        <f t="shared" si="97"/>
        <v>0</v>
      </c>
      <c r="Z190" s="17">
        <f t="shared" si="98"/>
        <v>0</v>
      </c>
      <c r="AA190" s="17">
        <f t="shared" si="99"/>
        <v>0</v>
      </c>
      <c r="AB190" s="18">
        <f t="shared" si="100"/>
        <v>0</v>
      </c>
    </row>
    <row r="191" spans="1:28">
      <c r="A191" s="127" t="s">
        <v>193</v>
      </c>
      <c r="B191" s="128"/>
      <c r="C191" s="128"/>
      <c r="D191" s="128"/>
      <c r="E191" s="129"/>
      <c r="F191" s="129"/>
      <c r="G191" s="129"/>
      <c r="H191" s="129"/>
      <c r="I191" s="130"/>
      <c r="J191" s="130"/>
      <c r="K191" s="130"/>
      <c r="L191" s="130"/>
      <c r="M191" s="93"/>
      <c r="N191" s="93"/>
      <c r="O191" s="92"/>
      <c r="P191" s="92"/>
      <c r="Q191" s="92"/>
      <c r="R191" s="92"/>
      <c r="S191" s="92"/>
      <c r="T191" s="92"/>
      <c r="U191" s="93"/>
      <c r="V191" s="15"/>
      <c r="W191" s="14"/>
      <c r="X191" s="74">
        <f t="shared" si="97"/>
        <v>0</v>
      </c>
      <c r="Z191" s="17">
        <f t="shared" si="98"/>
        <v>0</v>
      </c>
      <c r="AA191" s="17">
        <f t="shared" si="99"/>
        <v>0</v>
      </c>
      <c r="AB191" s="18">
        <f t="shared" si="100"/>
        <v>0</v>
      </c>
    </row>
    <row r="192" spans="1:28" ht="15" customHeight="1" thickBot="1">
      <c r="A192" s="108" t="s">
        <v>194</v>
      </c>
      <c r="B192" s="8"/>
      <c r="C192" s="8"/>
      <c r="D192" s="8"/>
      <c r="E192" s="11"/>
      <c r="F192" s="11"/>
      <c r="G192" s="11"/>
      <c r="H192" s="11"/>
      <c r="I192" s="22"/>
      <c r="J192" s="22"/>
      <c r="K192" s="22"/>
      <c r="L192" s="130"/>
      <c r="M192" s="14"/>
      <c r="N192" s="15"/>
      <c r="O192" s="14">
        <v>0</v>
      </c>
      <c r="P192" s="14"/>
      <c r="Q192" s="31"/>
      <c r="R192" s="31">
        <v>0</v>
      </c>
      <c r="S192" s="31">
        <f>285000*2</f>
        <v>570000</v>
      </c>
      <c r="T192" s="31">
        <f>292000*6</f>
        <v>1752000</v>
      </c>
      <c r="U192" s="30">
        <v>1625000</v>
      </c>
      <c r="V192" s="30"/>
      <c r="W192" s="31"/>
      <c r="X192" s="74">
        <f>SUM(B192:V192)</f>
        <v>3947000</v>
      </c>
      <c r="Y192" s="1">
        <f>150000+73000+73000+73000</f>
        <v>369000</v>
      </c>
      <c r="Z192" s="17">
        <f t="shared" si="98"/>
        <v>3947000</v>
      </c>
      <c r="AA192" s="17">
        <f t="shared" si="99"/>
        <v>0</v>
      </c>
      <c r="AB192" s="18">
        <f t="shared" si="100"/>
        <v>3947000</v>
      </c>
    </row>
    <row r="193" spans="1:28" ht="15.75" customHeight="1" thickBot="1">
      <c r="A193" s="189" t="s">
        <v>195</v>
      </c>
      <c r="B193" s="255">
        <f t="shared" ref="B193:AB193" si="102">SUM(B192:B192)</f>
        <v>0</v>
      </c>
      <c r="C193" s="255">
        <f t="shared" si="102"/>
        <v>0</v>
      </c>
      <c r="D193" s="255">
        <f t="shared" si="102"/>
        <v>0</v>
      </c>
      <c r="E193" s="255">
        <f t="shared" si="102"/>
        <v>0</v>
      </c>
      <c r="F193" s="255">
        <f t="shared" si="102"/>
        <v>0</v>
      </c>
      <c r="G193" s="255">
        <f t="shared" si="102"/>
        <v>0</v>
      </c>
      <c r="H193" s="255">
        <f t="shared" si="102"/>
        <v>0</v>
      </c>
      <c r="I193" s="255">
        <f t="shared" si="102"/>
        <v>0</v>
      </c>
      <c r="J193" s="255">
        <f t="shared" si="102"/>
        <v>0</v>
      </c>
      <c r="K193" s="255">
        <f t="shared" si="102"/>
        <v>0</v>
      </c>
      <c r="L193" s="255">
        <f t="shared" si="102"/>
        <v>0</v>
      </c>
      <c r="M193" s="255">
        <f t="shared" si="102"/>
        <v>0</v>
      </c>
      <c r="N193" s="255">
        <f t="shared" si="102"/>
        <v>0</v>
      </c>
      <c r="O193" s="255">
        <f t="shared" si="102"/>
        <v>0</v>
      </c>
      <c r="P193" s="255">
        <f t="shared" si="102"/>
        <v>0</v>
      </c>
      <c r="Q193" s="255">
        <f t="shared" si="102"/>
        <v>0</v>
      </c>
      <c r="R193" s="255">
        <f t="shared" si="102"/>
        <v>0</v>
      </c>
      <c r="S193" s="255">
        <f t="shared" si="102"/>
        <v>570000</v>
      </c>
      <c r="T193" s="255">
        <f t="shared" si="102"/>
        <v>1752000</v>
      </c>
      <c r="U193" s="255">
        <f t="shared" si="102"/>
        <v>1625000</v>
      </c>
      <c r="V193" s="256">
        <f t="shared" si="102"/>
        <v>0</v>
      </c>
      <c r="W193" s="256">
        <f t="shared" si="102"/>
        <v>0</v>
      </c>
      <c r="X193" s="257">
        <f t="shared" si="102"/>
        <v>3947000</v>
      </c>
      <c r="Y193" s="257">
        <f t="shared" si="102"/>
        <v>369000</v>
      </c>
      <c r="Z193" s="257">
        <f t="shared" si="102"/>
        <v>3947000</v>
      </c>
      <c r="AA193" s="257">
        <f t="shared" si="102"/>
        <v>0</v>
      </c>
      <c r="AB193" s="257">
        <f t="shared" si="102"/>
        <v>3947000</v>
      </c>
    </row>
    <row r="194" spans="1:28">
      <c r="A194" s="258" t="s">
        <v>196</v>
      </c>
      <c r="B194" s="259"/>
      <c r="C194" s="259"/>
      <c r="D194" s="259"/>
      <c r="E194" s="260"/>
      <c r="F194" s="260"/>
      <c r="G194" s="260"/>
      <c r="H194" s="261"/>
      <c r="I194" s="262"/>
      <c r="J194" s="262"/>
      <c r="K194" s="262"/>
      <c r="L194" s="263"/>
      <c r="M194" s="264"/>
      <c r="N194" s="264"/>
      <c r="O194" s="265"/>
      <c r="P194" s="265"/>
      <c r="Q194" s="265"/>
      <c r="R194" s="265"/>
      <c r="S194" s="265"/>
      <c r="T194" s="265"/>
      <c r="U194" s="264"/>
      <c r="V194" s="266"/>
      <c r="W194" s="267"/>
      <c r="X194" s="94">
        <f>SUM(B194:O194)</f>
        <v>0</v>
      </c>
      <c r="Y194" s="94">
        <f t="shared" ref="Y194:AB194" si="103">SUM(C194:P194)</f>
        <v>0</v>
      </c>
      <c r="Z194" s="94">
        <f t="shared" si="103"/>
        <v>0</v>
      </c>
      <c r="AA194" s="94">
        <f t="shared" si="103"/>
        <v>0</v>
      </c>
      <c r="AB194" s="94">
        <f t="shared" si="103"/>
        <v>0</v>
      </c>
    </row>
    <row r="195" spans="1:28" ht="15" customHeight="1">
      <c r="A195" s="131" t="s">
        <v>197</v>
      </c>
      <c r="B195" s="132"/>
      <c r="C195" s="132"/>
      <c r="D195" s="132"/>
      <c r="E195" s="133"/>
      <c r="F195" s="133"/>
      <c r="G195" s="134">
        <v>0</v>
      </c>
      <c r="H195" s="135"/>
      <c r="I195" s="136">
        <v>0</v>
      </c>
      <c r="J195" s="28">
        <v>0</v>
      </c>
      <c r="K195" s="28">
        <v>0</v>
      </c>
      <c r="L195" s="29">
        <v>0</v>
      </c>
      <c r="M195" s="30"/>
      <c r="N195" s="30"/>
      <c r="O195" s="31"/>
      <c r="P195" s="31"/>
      <c r="Q195" s="31">
        <v>0</v>
      </c>
      <c r="R195" s="31">
        <v>0</v>
      </c>
      <c r="S195" s="31">
        <v>0</v>
      </c>
      <c r="T195" s="31">
        <v>0</v>
      </c>
      <c r="U195" s="30"/>
      <c r="V195" s="30"/>
      <c r="W195" s="31">
        <v>220000</v>
      </c>
      <c r="X195" s="74">
        <f>SUM(B195:W195)</f>
        <v>220000</v>
      </c>
      <c r="Z195" s="17">
        <f t="shared" ref="Z195:Z198" si="104">SUM(B195:V195)</f>
        <v>0</v>
      </c>
      <c r="AA195" s="17">
        <f t="shared" ref="AA195:AA198" si="105">+W195</f>
        <v>220000</v>
      </c>
      <c r="AB195" s="18">
        <f t="shared" ref="AB195:AB198" si="106">+Z195+AA195</f>
        <v>220000</v>
      </c>
    </row>
    <row r="196" spans="1:28" ht="15" customHeight="1">
      <c r="A196" s="131" t="s">
        <v>198</v>
      </c>
      <c r="B196" s="132"/>
      <c r="C196" s="132"/>
      <c r="D196" s="132"/>
      <c r="E196" s="133"/>
      <c r="F196" s="133"/>
      <c r="G196" s="134">
        <v>0</v>
      </c>
      <c r="H196" s="135"/>
      <c r="I196" s="136">
        <v>0</v>
      </c>
      <c r="J196" s="28">
        <v>0</v>
      </c>
      <c r="K196" s="28">
        <v>0</v>
      </c>
      <c r="L196" s="29">
        <v>0</v>
      </c>
      <c r="M196" s="30"/>
      <c r="N196" s="30"/>
      <c r="O196" s="31"/>
      <c r="P196" s="31"/>
      <c r="Q196" s="31"/>
      <c r="R196" s="31"/>
      <c r="S196" s="31">
        <v>0</v>
      </c>
      <c r="T196" s="31">
        <v>0</v>
      </c>
      <c r="U196" s="30"/>
      <c r="V196" s="30"/>
      <c r="W196" s="31">
        <f>60000+193466</f>
        <v>253466</v>
      </c>
      <c r="X196" s="74">
        <f t="shared" ref="X196:X197" si="107">SUM(B196:W196)</f>
        <v>253466</v>
      </c>
      <c r="Z196" s="17">
        <f t="shared" si="104"/>
        <v>0</v>
      </c>
      <c r="AA196" s="17">
        <f t="shared" si="105"/>
        <v>253466</v>
      </c>
      <c r="AB196" s="18">
        <f t="shared" si="106"/>
        <v>253466</v>
      </c>
    </row>
    <row r="197" spans="1:28" ht="15" customHeight="1">
      <c r="A197" s="131" t="s">
        <v>199</v>
      </c>
      <c r="B197" s="132"/>
      <c r="C197" s="132"/>
      <c r="D197" s="132"/>
      <c r="E197" s="133"/>
      <c r="F197" s="133"/>
      <c r="G197" s="134"/>
      <c r="H197" s="135"/>
      <c r="I197" s="136"/>
      <c r="J197" s="28"/>
      <c r="K197" s="28"/>
      <c r="L197" s="29"/>
      <c r="M197" s="30"/>
      <c r="N197" s="30"/>
      <c r="O197" s="31"/>
      <c r="P197" s="31"/>
      <c r="Q197" s="31"/>
      <c r="R197" s="31"/>
      <c r="S197" s="31">
        <v>0</v>
      </c>
      <c r="T197" s="31">
        <v>0</v>
      </c>
      <c r="U197" s="30"/>
      <c r="V197" s="30"/>
      <c r="W197" s="31">
        <f>748200+108652</f>
        <v>856852</v>
      </c>
      <c r="X197" s="74">
        <f t="shared" si="107"/>
        <v>856852</v>
      </c>
      <c r="Z197" s="17">
        <f t="shared" si="104"/>
        <v>0</v>
      </c>
      <c r="AA197" s="17">
        <f t="shared" si="105"/>
        <v>856852</v>
      </c>
      <c r="AB197" s="18">
        <f t="shared" si="106"/>
        <v>856852</v>
      </c>
    </row>
    <row r="198" spans="1:28" ht="15.75" customHeight="1" thickBot="1">
      <c r="A198" s="137" t="s">
        <v>200</v>
      </c>
      <c r="B198" s="138"/>
      <c r="C198" s="138"/>
      <c r="D198" s="138"/>
      <c r="E198" s="139"/>
      <c r="F198" s="139"/>
      <c r="G198" s="140">
        <v>0</v>
      </c>
      <c r="H198" s="141"/>
      <c r="I198" s="142">
        <v>0</v>
      </c>
      <c r="J198" s="34">
        <v>0</v>
      </c>
      <c r="K198" s="34">
        <v>0</v>
      </c>
      <c r="L198" s="35">
        <v>0</v>
      </c>
      <c r="M198" s="39"/>
      <c r="N198" s="40"/>
      <c r="O198" s="39"/>
      <c r="P198" s="39"/>
      <c r="Q198" s="39"/>
      <c r="R198" s="39">
        <v>0</v>
      </c>
      <c r="S198" s="39"/>
      <c r="T198" s="39">
        <v>0</v>
      </c>
      <c r="U198" s="40"/>
      <c r="V198" s="30"/>
      <c r="W198" s="31"/>
      <c r="X198" s="74">
        <f>SUM(B198:V198)</f>
        <v>0</v>
      </c>
      <c r="Z198" s="17">
        <f t="shared" si="104"/>
        <v>0</v>
      </c>
      <c r="AA198" s="17">
        <f t="shared" si="105"/>
        <v>0</v>
      </c>
      <c r="AB198" s="18">
        <f t="shared" si="106"/>
        <v>0</v>
      </c>
    </row>
    <row r="199" spans="1:28" ht="15.75" customHeight="1" thickBot="1">
      <c r="A199" s="268" t="s">
        <v>201</v>
      </c>
      <c r="B199" s="269">
        <f t="shared" ref="B199:AB199" si="108">SUM(B195:B198)</f>
        <v>0</v>
      </c>
      <c r="C199" s="269">
        <f t="shared" si="108"/>
        <v>0</v>
      </c>
      <c r="D199" s="269">
        <f t="shared" si="108"/>
        <v>0</v>
      </c>
      <c r="E199" s="269">
        <f t="shared" si="108"/>
        <v>0</v>
      </c>
      <c r="F199" s="269">
        <f t="shared" si="108"/>
        <v>0</v>
      </c>
      <c r="G199" s="269">
        <f t="shared" si="108"/>
        <v>0</v>
      </c>
      <c r="H199" s="269">
        <f t="shared" si="108"/>
        <v>0</v>
      </c>
      <c r="I199" s="269">
        <f t="shared" si="108"/>
        <v>0</v>
      </c>
      <c r="J199" s="269">
        <f t="shared" si="108"/>
        <v>0</v>
      </c>
      <c r="K199" s="269">
        <f t="shared" si="108"/>
        <v>0</v>
      </c>
      <c r="L199" s="269">
        <f t="shared" si="108"/>
        <v>0</v>
      </c>
      <c r="M199" s="269">
        <f t="shared" si="108"/>
        <v>0</v>
      </c>
      <c r="N199" s="269">
        <f t="shared" si="108"/>
        <v>0</v>
      </c>
      <c r="O199" s="269">
        <f t="shared" si="108"/>
        <v>0</v>
      </c>
      <c r="P199" s="269">
        <f t="shared" si="108"/>
        <v>0</v>
      </c>
      <c r="Q199" s="269">
        <f t="shared" si="108"/>
        <v>0</v>
      </c>
      <c r="R199" s="269">
        <f t="shared" si="108"/>
        <v>0</v>
      </c>
      <c r="S199" s="269">
        <f t="shared" si="108"/>
        <v>0</v>
      </c>
      <c r="T199" s="269">
        <f t="shared" si="108"/>
        <v>0</v>
      </c>
      <c r="U199" s="269">
        <f t="shared" si="108"/>
        <v>0</v>
      </c>
      <c r="V199" s="270">
        <f t="shared" si="108"/>
        <v>0</v>
      </c>
      <c r="W199" s="270">
        <f t="shared" si="108"/>
        <v>1330318</v>
      </c>
      <c r="X199" s="271">
        <f t="shared" si="108"/>
        <v>1330318</v>
      </c>
      <c r="Y199" s="271">
        <f t="shared" si="108"/>
        <v>0</v>
      </c>
      <c r="Z199" s="271">
        <f t="shared" si="108"/>
        <v>0</v>
      </c>
      <c r="AA199" s="271">
        <f t="shared" si="108"/>
        <v>1330318</v>
      </c>
      <c r="AB199" s="271">
        <f t="shared" si="108"/>
        <v>1330318</v>
      </c>
    </row>
    <row r="200" spans="1:28">
      <c r="A200" s="272" t="s">
        <v>202</v>
      </c>
      <c r="B200" s="118"/>
      <c r="C200" s="273"/>
      <c r="D200" s="151"/>
      <c r="E200" s="274"/>
      <c r="F200" s="275"/>
      <c r="G200" s="225"/>
      <c r="H200" s="225"/>
      <c r="I200" s="226"/>
      <c r="J200" s="226"/>
      <c r="K200" s="233"/>
      <c r="L200" s="276"/>
      <c r="M200" s="145"/>
      <c r="N200" s="145"/>
      <c r="O200" s="146"/>
      <c r="P200" s="146"/>
      <c r="Q200" s="146"/>
      <c r="R200" s="146"/>
      <c r="S200" s="146"/>
      <c r="T200" s="146"/>
      <c r="U200" s="145"/>
      <c r="V200" s="87"/>
      <c r="W200" s="86"/>
      <c r="X200" s="94">
        <f>SUM(B200:O200)</f>
        <v>0</v>
      </c>
      <c r="Y200" s="94">
        <f t="shared" ref="Y200:AB200" si="109">SUM(C200:P200)</f>
        <v>0</v>
      </c>
      <c r="Z200" s="94">
        <f t="shared" si="109"/>
        <v>0</v>
      </c>
      <c r="AA200" s="94">
        <f t="shared" si="109"/>
        <v>0</v>
      </c>
      <c r="AB200" s="94">
        <f t="shared" si="109"/>
        <v>0</v>
      </c>
    </row>
    <row r="201" spans="1:28">
      <c r="A201" s="143" t="s">
        <v>203</v>
      </c>
      <c r="B201" s="17"/>
      <c r="C201" s="24"/>
      <c r="D201" s="24"/>
      <c r="E201" s="86"/>
      <c r="F201" s="86"/>
      <c r="G201" s="86"/>
      <c r="H201" s="86"/>
      <c r="I201" s="86"/>
      <c r="J201" s="86"/>
      <c r="K201" s="86"/>
      <c r="L201" s="86"/>
      <c r="M201" s="144"/>
      <c r="N201" s="145"/>
      <c r="O201" s="146"/>
      <c r="P201" s="146"/>
      <c r="Q201" s="146"/>
      <c r="R201" s="146"/>
      <c r="S201" s="146"/>
      <c r="T201" s="146"/>
      <c r="U201" s="145"/>
      <c r="V201" s="87">
        <v>0</v>
      </c>
      <c r="W201" s="86">
        <v>0</v>
      </c>
      <c r="X201" s="74">
        <f t="shared" ref="X201" si="110">SUM(B201:V201)</f>
        <v>0</v>
      </c>
      <c r="Z201" s="17">
        <f t="shared" ref="Z201:Z208" si="111">SUM(B201:V201)</f>
        <v>0</v>
      </c>
      <c r="AA201" s="17">
        <f t="shared" ref="AA201:AA208" si="112">+W201</f>
        <v>0</v>
      </c>
      <c r="AB201" s="18">
        <f t="shared" ref="AB201:AB208" si="113">+Z201+AA201</f>
        <v>0</v>
      </c>
    </row>
    <row r="202" spans="1:28" ht="15" customHeight="1">
      <c r="A202" s="114" t="s">
        <v>204</v>
      </c>
      <c r="B202" s="24"/>
      <c r="C202" s="24"/>
      <c r="D202" s="24"/>
      <c r="E202" s="14"/>
      <c r="F202" s="14"/>
      <c r="G202" s="14"/>
      <c r="H202" s="14"/>
      <c r="I202" s="14"/>
      <c r="J202" s="14"/>
      <c r="K202" s="14"/>
      <c r="L202" s="14"/>
      <c r="M202" s="97"/>
      <c r="N202" s="83"/>
      <c r="O202" s="13"/>
      <c r="P202" s="13"/>
      <c r="Q202" s="13"/>
      <c r="R202" s="13"/>
      <c r="S202" s="13"/>
      <c r="T202" s="13"/>
      <c r="U202" s="83">
        <v>0</v>
      </c>
      <c r="V202" s="15"/>
      <c r="W202" s="14">
        <v>9279917.6600000001</v>
      </c>
      <c r="X202" s="74">
        <f>SUM(B202:W202)</f>
        <v>9279917.6600000001</v>
      </c>
      <c r="Z202" s="17">
        <f t="shared" si="111"/>
        <v>0</v>
      </c>
      <c r="AA202" s="17">
        <f t="shared" si="112"/>
        <v>9279917.6600000001</v>
      </c>
      <c r="AB202" s="18">
        <f t="shared" si="113"/>
        <v>9279917.6600000001</v>
      </c>
    </row>
    <row r="203" spans="1:28" ht="15" customHeight="1">
      <c r="A203" s="147" t="s">
        <v>205</v>
      </c>
      <c r="B203" s="24"/>
      <c r="C203" s="24"/>
      <c r="D203" s="24"/>
      <c r="E203" s="14"/>
      <c r="F203" s="14"/>
      <c r="G203" s="14">
        <v>0</v>
      </c>
      <c r="H203" s="14">
        <v>0</v>
      </c>
      <c r="I203" s="14">
        <f>11000000-7000000-3648358-351642</f>
        <v>0</v>
      </c>
      <c r="J203" s="14">
        <f>2072435-2072435</f>
        <v>0</v>
      </c>
      <c r="K203" s="14"/>
      <c r="L203" s="14"/>
      <c r="M203" s="148"/>
      <c r="N203" s="15">
        <v>0</v>
      </c>
      <c r="O203" s="14">
        <v>0</v>
      </c>
      <c r="P203" s="14"/>
      <c r="Q203" s="14">
        <f>572333*3+1</f>
        <v>1717000</v>
      </c>
      <c r="R203" s="14"/>
      <c r="S203" s="14"/>
      <c r="T203" s="14"/>
      <c r="U203" s="15"/>
      <c r="V203" s="15"/>
      <c r="W203" s="14"/>
      <c r="X203" s="74">
        <f t="shared" ref="X203:X208" si="114">SUM(B203:W203)</f>
        <v>1717000</v>
      </c>
      <c r="Z203" s="17">
        <f t="shared" si="111"/>
        <v>1717000</v>
      </c>
      <c r="AA203" s="17">
        <f t="shared" si="112"/>
        <v>0</v>
      </c>
      <c r="AB203" s="18">
        <f t="shared" si="113"/>
        <v>1717000</v>
      </c>
    </row>
    <row r="204" spans="1:28" ht="15" customHeight="1">
      <c r="A204" s="114" t="s">
        <v>206</v>
      </c>
      <c r="B204" s="24"/>
      <c r="C204" s="24"/>
      <c r="D204" s="24"/>
      <c r="E204" s="14">
        <v>0</v>
      </c>
      <c r="F204" s="14"/>
      <c r="G204" s="14">
        <v>0</v>
      </c>
      <c r="H204" s="14"/>
      <c r="I204" s="14"/>
      <c r="J204" s="14"/>
      <c r="K204" s="14"/>
      <c r="L204" s="14"/>
      <c r="M204" s="97"/>
      <c r="N204" s="83"/>
      <c r="O204" s="14"/>
      <c r="P204" s="14"/>
      <c r="Q204" s="14">
        <f>98101*2+70918+280032</f>
        <v>547152</v>
      </c>
      <c r="R204" s="14">
        <f>584080+227748+50000</f>
        <v>861828</v>
      </c>
      <c r="S204" s="14">
        <f>784943+99902-70081</f>
        <v>814764</v>
      </c>
      <c r="T204" s="14">
        <f>274211-10845+65763+62559+62559+150843+121916+392782</f>
        <v>1119788</v>
      </c>
      <c r="U204" s="15"/>
      <c r="V204" s="15">
        <f>53562*9+17147+210822-9000</f>
        <v>701027</v>
      </c>
      <c r="W204" s="14">
        <f>53468*9</f>
        <v>481212</v>
      </c>
      <c r="X204" s="74">
        <f t="shared" si="114"/>
        <v>4525771</v>
      </c>
      <c r="Y204" s="68">
        <f>+[1]CONTABILIDAD!$P$100-X204</f>
        <v>-279390</v>
      </c>
      <c r="Z204" s="17">
        <f t="shared" si="111"/>
        <v>4044559</v>
      </c>
      <c r="AA204" s="17">
        <f t="shared" si="112"/>
        <v>481212</v>
      </c>
      <c r="AB204" s="18">
        <f t="shared" si="113"/>
        <v>4525771</v>
      </c>
    </row>
    <row r="205" spans="1:28" ht="15" customHeight="1">
      <c r="A205" s="114" t="s">
        <v>207</v>
      </c>
      <c r="B205" s="24"/>
      <c r="C205" s="24"/>
      <c r="D205" s="24"/>
      <c r="E205" s="14"/>
      <c r="F205" s="14"/>
      <c r="G205" s="14"/>
      <c r="H205" s="14"/>
      <c r="I205" s="14"/>
      <c r="J205" s="14"/>
      <c r="K205" s="14"/>
      <c r="L205" s="14"/>
      <c r="M205" s="97"/>
      <c r="N205" s="83"/>
      <c r="O205" s="13"/>
      <c r="P205" s="13">
        <v>2482489</v>
      </c>
      <c r="Q205" s="13">
        <v>3199644</v>
      </c>
      <c r="R205" s="13">
        <v>1724594</v>
      </c>
      <c r="S205" s="13">
        <v>2114158</v>
      </c>
      <c r="T205" s="13">
        <v>1589909</v>
      </c>
      <c r="U205" s="83">
        <v>2390329</v>
      </c>
      <c r="V205" s="15"/>
      <c r="W205" s="14"/>
      <c r="X205" s="74">
        <f t="shared" si="114"/>
        <v>13501123</v>
      </c>
      <c r="Z205" s="17">
        <f t="shared" si="111"/>
        <v>13501123</v>
      </c>
      <c r="AA205" s="17">
        <f t="shared" si="112"/>
        <v>0</v>
      </c>
      <c r="AB205" s="18">
        <f t="shared" si="113"/>
        <v>13501123</v>
      </c>
    </row>
    <row r="206" spans="1:28" ht="15" customHeight="1">
      <c r="A206" s="114" t="s">
        <v>208</v>
      </c>
      <c r="B206" s="24"/>
      <c r="C206" s="24"/>
      <c r="D206" s="24"/>
      <c r="E206" s="14"/>
      <c r="F206" s="14"/>
      <c r="G206" s="14"/>
      <c r="H206" s="14"/>
      <c r="I206" s="14"/>
      <c r="J206" s="14"/>
      <c r="K206" s="14"/>
      <c r="L206" s="14"/>
      <c r="M206" s="97"/>
      <c r="N206" s="83"/>
      <c r="O206" s="13"/>
      <c r="P206" s="13"/>
      <c r="Q206" s="13"/>
      <c r="R206" s="13"/>
      <c r="S206" s="13"/>
      <c r="T206" s="13">
        <v>0</v>
      </c>
      <c r="U206" s="83">
        <v>0</v>
      </c>
      <c r="V206" s="15">
        <v>0</v>
      </c>
      <c r="W206" s="14">
        <v>280400</v>
      </c>
      <c r="X206" s="74">
        <f t="shared" si="114"/>
        <v>280400</v>
      </c>
      <c r="Z206" s="17">
        <f t="shared" si="111"/>
        <v>0</v>
      </c>
      <c r="AA206" s="17">
        <f t="shared" si="112"/>
        <v>280400</v>
      </c>
      <c r="AB206" s="18">
        <f t="shared" si="113"/>
        <v>280400</v>
      </c>
    </row>
    <row r="207" spans="1:28" ht="15" customHeight="1">
      <c r="A207" s="149" t="s">
        <v>209</v>
      </c>
      <c r="B207" s="150"/>
      <c r="C207" s="151"/>
      <c r="D207" s="152"/>
      <c r="E207" s="153"/>
      <c r="F207" s="153"/>
      <c r="G207" s="154"/>
      <c r="H207" s="155"/>
      <c r="I207" s="156"/>
      <c r="J207" s="156"/>
      <c r="K207" s="92"/>
      <c r="L207" s="157"/>
      <c r="M207" s="97"/>
      <c r="N207" s="83"/>
      <c r="O207" s="13"/>
      <c r="P207" s="13"/>
      <c r="Q207" s="13"/>
      <c r="R207" s="13"/>
      <c r="S207" s="13"/>
      <c r="T207" s="13"/>
      <c r="U207" s="83"/>
      <c r="V207" s="15"/>
      <c r="W207" s="14">
        <v>0</v>
      </c>
      <c r="X207" s="74">
        <f t="shared" si="114"/>
        <v>0</v>
      </c>
      <c r="Z207" s="17">
        <f t="shared" si="111"/>
        <v>0</v>
      </c>
      <c r="AA207" s="17">
        <f t="shared" si="112"/>
        <v>0</v>
      </c>
      <c r="AB207" s="18">
        <f t="shared" si="113"/>
        <v>0</v>
      </c>
    </row>
    <row r="208" spans="1:28" ht="15.75" customHeight="1" thickBot="1">
      <c r="A208" s="158" t="s">
        <v>210</v>
      </c>
      <c r="B208" s="159"/>
      <c r="C208" s="160"/>
      <c r="D208" s="161"/>
      <c r="E208" s="13"/>
      <c r="F208" s="13"/>
      <c r="G208" s="162"/>
      <c r="H208" s="163"/>
      <c r="I208" s="12"/>
      <c r="J208" s="12"/>
      <c r="K208" s="14"/>
      <c r="L208" s="164"/>
      <c r="M208" s="13"/>
      <c r="N208" s="83">
        <f>352348000-9500000-26032000-45000000-15000000-15000000-15000000-15000000-10000000-10000000-40000000-5000000-3500000</f>
        <v>143316000</v>
      </c>
      <c r="O208" s="13"/>
      <c r="P208" s="13"/>
      <c r="Q208" s="13"/>
      <c r="R208" s="13"/>
      <c r="S208" s="13"/>
      <c r="T208" s="13"/>
      <c r="U208" s="83"/>
      <c r="V208" s="15"/>
      <c r="W208" s="13"/>
      <c r="X208" s="74">
        <f t="shared" si="114"/>
        <v>143316000</v>
      </c>
      <c r="Z208" s="17">
        <f t="shared" si="111"/>
        <v>143316000</v>
      </c>
      <c r="AA208" s="17">
        <f t="shared" si="112"/>
        <v>0</v>
      </c>
      <c r="AB208" s="18">
        <f t="shared" si="113"/>
        <v>143316000</v>
      </c>
    </row>
    <row r="209" spans="1:28" ht="15.75" customHeight="1" thickBot="1">
      <c r="A209" s="277" t="s">
        <v>211</v>
      </c>
      <c r="B209" s="179">
        <f t="shared" ref="B209:X209" si="115">SUM(B202:B208)</f>
        <v>0</v>
      </c>
      <c r="C209" s="179">
        <f t="shared" si="115"/>
        <v>0</v>
      </c>
      <c r="D209" s="179">
        <f t="shared" si="115"/>
        <v>0</v>
      </c>
      <c r="E209" s="179">
        <f t="shared" si="115"/>
        <v>0</v>
      </c>
      <c r="F209" s="179">
        <f t="shared" si="115"/>
        <v>0</v>
      </c>
      <c r="G209" s="179">
        <f t="shared" si="115"/>
        <v>0</v>
      </c>
      <c r="H209" s="179">
        <f t="shared" si="115"/>
        <v>0</v>
      </c>
      <c r="I209" s="179">
        <f t="shared" si="115"/>
        <v>0</v>
      </c>
      <c r="J209" s="179">
        <f t="shared" si="115"/>
        <v>0</v>
      </c>
      <c r="K209" s="179">
        <f t="shared" si="115"/>
        <v>0</v>
      </c>
      <c r="L209" s="179">
        <f t="shared" si="115"/>
        <v>0</v>
      </c>
      <c r="M209" s="179">
        <f t="shared" si="115"/>
        <v>0</v>
      </c>
      <c r="N209" s="179">
        <f t="shared" si="115"/>
        <v>143316000</v>
      </c>
      <c r="O209" s="179">
        <f t="shared" si="115"/>
        <v>0</v>
      </c>
      <c r="P209" s="179">
        <f t="shared" si="115"/>
        <v>2482489</v>
      </c>
      <c r="Q209" s="179">
        <f t="shared" si="115"/>
        <v>5463796</v>
      </c>
      <c r="R209" s="179">
        <f t="shared" si="115"/>
        <v>2586422</v>
      </c>
      <c r="S209" s="179">
        <f t="shared" si="115"/>
        <v>2928922</v>
      </c>
      <c r="T209" s="179">
        <f t="shared" si="115"/>
        <v>2709697</v>
      </c>
      <c r="U209" s="179">
        <f t="shared" si="115"/>
        <v>2390329</v>
      </c>
      <c r="V209" s="179">
        <f t="shared" si="115"/>
        <v>701027</v>
      </c>
      <c r="W209" s="41">
        <f t="shared" si="115"/>
        <v>10041529.66</v>
      </c>
      <c r="X209" s="41">
        <f t="shared" si="115"/>
        <v>172620211.66</v>
      </c>
      <c r="Y209" s="41"/>
      <c r="Z209" s="41">
        <f>SUM(Z202:Z208)</f>
        <v>162578682</v>
      </c>
      <c r="AA209" s="41">
        <f>SUM(AA202:AA208)</f>
        <v>10041529.66</v>
      </c>
      <c r="AB209" s="41">
        <f>SUM(AB202:AB208)</f>
        <v>172620211.66</v>
      </c>
    </row>
    <row r="210" spans="1:28" ht="15.75" customHeight="1" thickBot="1">
      <c r="A210" s="278" t="s">
        <v>212</v>
      </c>
      <c r="B210" s="279">
        <f t="shared" ref="B210:X210" si="116">+B4+B39+B74+B141+B167+B186+B190+B193+B199+B209</f>
        <v>2116889</v>
      </c>
      <c r="C210" s="279">
        <f t="shared" si="116"/>
        <v>3090895</v>
      </c>
      <c r="D210" s="279">
        <f t="shared" si="116"/>
        <v>0</v>
      </c>
      <c r="E210" s="279">
        <f t="shared" si="116"/>
        <v>0</v>
      </c>
      <c r="F210" s="279">
        <f t="shared" si="116"/>
        <v>0</v>
      </c>
      <c r="G210" s="279">
        <f t="shared" si="116"/>
        <v>1857374</v>
      </c>
      <c r="H210" s="279">
        <f t="shared" si="116"/>
        <v>4403369.3</v>
      </c>
      <c r="I210" s="279">
        <f t="shared" si="116"/>
        <v>7009524</v>
      </c>
      <c r="J210" s="279">
        <f t="shared" si="116"/>
        <v>4540458</v>
      </c>
      <c r="K210" s="279">
        <f t="shared" si="116"/>
        <v>6975950</v>
      </c>
      <c r="L210" s="279">
        <f t="shared" si="116"/>
        <v>9090974</v>
      </c>
      <c r="M210" s="279">
        <f t="shared" si="116"/>
        <v>8279011</v>
      </c>
      <c r="N210" s="279">
        <f t="shared" si="116"/>
        <v>150841075</v>
      </c>
      <c r="O210" s="279">
        <f t="shared" si="116"/>
        <v>1957128</v>
      </c>
      <c r="P210" s="279">
        <f t="shared" si="116"/>
        <v>14476953</v>
      </c>
      <c r="Q210" s="279">
        <f t="shared" si="116"/>
        <v>89352911</v>
      </c>
      <c r="R210" s="279">
        <f t="shared" si="116"/>
        <v>89561886.768854797</v>
      </c>
      <c r="S210" s="279">
        <f t="shared" si="116"/>
        <v>102810444.06723753</v>
      </c>
      <c r="T210" s="279">
        <f t="shared" si="116"/>
        <v>98701056.54705441</v>
      </c>
      <c r="U210" s="279">
        <f t="shared" si="116"/>
        <v>163012734</v>
      </c>
      <c r="V210" s="280">
        <f t="shared" si="116"/>
        <v>25353978.721458457</v>
      </c>
      <c r="W210" s="281">
        <f t="shared" si="116"/>
        <v>86641877.659999996</v>
      </c>
      <c r="X210" s="282">
        <f t="shared" si="116"/>
        <v>898486050.54625702</v>
      </c>
      <c r="Y210" s="282"/>
      <c r="Z210" s="282">
        <f>+Z4+Z39+Z74+Z141+Z167+Z186+Z190+Z193+Z199+Z209</f>
        <v>803711733.74576139</v>
      </c>
      <c r="AA210" s="282">
        <f>+AA4+AA39+AA74+AA141+AA167+AA186+AA190+AA193+AA199+AA209</f>
        <v>88930373.659999996</v>
      </c>
      <c r="AB210" s="282">
        <f>+AB4+AB39+AB74+AB141+AB167+AB186+AB190+AB193+AB199+AB209</f>
        <v>892642107.40576136</v>
      </c>
    </row>
    <row r="211" spans="1:28">
      <c r="X211" s="165"/>
    </row>
    <row r="212" spans="1:28">
      <c r="T212" s="115"/>
      <c r="X212" s="166"/>
    </row>
    <row r="213" spans="1:28">
      <c r="Q213" s="115"/>
      <c r="X213" s="115"/>
    </row>
    <row r="214" spans="1:28">
      <c r="X214" s="115"/>
      <c r="AB214" s="115">
        <f>+X210-AB210</f>
        <v>5843943.1404956579</v>
      </c>
    </row>
    <row r="216" spans="1:28">
      <c r="R216" s="115"/>
      <c r="U216" s="115"/>
      <c r="AA216" s="166"/>
    </row>
    <row r="217" spans="1:28">
      <c r="X217" s="115"/>
    </row>
    <row r="218" spans="1:28">
      <c r="S218" s="115"/>
    </row>
    <row r="219" spans="1:28">
      <c r="X219" s="115"/>
    </row>
    <row r="221" spans="1:28">
      <c r="T221" s="115"/>
      <c r="U221" s="167"/>
    </row>
    <row r="222" spans="1:28">
      <c r="T222" s="115"/>
      <c r="U222" s="167"/>
    </row>
    <row r="223" spans="1:28">
      <c r="U223" s="167"/>
    </row>
    <row r="224" spans="1:28">
      <c r="U224" s="167"/>
    </row>
    <row r="225" spans="21:21">
      <c r="U225" s="167"/>
    </row>
  </sheetData>
  <mergeCells count="25">
    <mergeCell ref="O2:O3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V2:V3"/>
    <mergeCell ref="W2:W3"/>
    <mergeCell ref="X2:X3"/>
    <mergeCell ref="P2:P3"/>
    <mergeCell ref="Q2:Q3"/>
    <mergeCell ref="R2:R3"/>
    <mergeCell ref="S2:S3"/>
    <mergeCell ref="T2:T3"/>
    <mergeCell ref="U2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HOSPITAL DONALDO SAUL MORON MANJARREZ</cp:lastModifiedBy>
  <dcterms:created xsi:type="dcterms:W3CDTF">2021-12-15T16:52:42Z</dcterms:created>
  <dcterms:modified xsi:type="dcterms:W3CDTF">2021-12-15T17:52:41Z</dcterms:modified>
</cp:coreProperties>
</file>