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15600" windowHeight="9240" activeTab="3"/>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<sst xmlns="http://schemas.openxmlformats.org/spreadsheetml/2006/main" count="470" uniqueCount="201">
  <si>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</si>
  <si>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</si>
  <si>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</si>
  <si>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</si>
  <si>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</si>
  <si>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</si>
  <si>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</si>
  <si>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</si>
  <si>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</si>
  <si>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</si>
  <si>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</si>
  <si>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</si>
  <si>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</si>
  <si>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</si>
  <si>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</si>
  <si>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</si>
  <si>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</si>
  <si>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</si>
  <si>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</si>
  <si>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</si>
  <si>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</si>
  <si>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</si>
  <si>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</si>
  <si>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</si>
  <si>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</si>
  <si>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</si>
  <si>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</si>
  <si>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</si>
  <si>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</si>
  <si>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</si>
  <si>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</si>
  <si>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</si>
  <si>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</si>
  <si>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</si>
  <si>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</si>
  <si>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</si>
  <si>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</si>
  <si>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</si>
  <si>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</si>
  <si>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</si>
  <si>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</si>
  <si>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</si>
  <si>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</si>
  <si>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</si>
  <si>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</si>
  <si>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</si>
  <si>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</si>
  <si>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</si>
  <si>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</si>
  <si>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</si>
  <si>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</si>
  <si>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</si>
  <si>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</si>
  <si>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</si>
  <si>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</si>
  <si>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</si>
  <si>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</si>
  <si>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</si>
  <si>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</si>
  <si>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</si>
  <si>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</si>
  <si>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</si>
  <si>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</si>
  <si>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</si>
  <si>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</si>
  <si>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</si>
  <si>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</si>
  <si>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</si>
  <si>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</si>
  <si>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</si>
  <si>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</si>
  <si>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</si>
  <si>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</si>
  <si>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</si>
  <si>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</si>
  <si>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</si>
  <si>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</si>
  <si>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</si>
  <si>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</si>
  <si>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</si>
  <si>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</si>
  <si>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</si>
  <si>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</si>
  <si>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</si>
  <si>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</si>
  <si>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</si>
  <si>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</si>
  <si>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</si>
  <si>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</si>
  <si>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</si>
  <si>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</si>
  <si>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</si>
  <si>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</si>
  <si>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</si>
  <si>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</si>
  <si>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</si>
  <si>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</si>
  <si>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</si>
  <si>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</si>
  <si>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</si>
  <si>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</si>
  <si>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</si>
  <si>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</si>
  <si>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</si>
  <si>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</si>
  <si>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</si>
  <si>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</si>
  <si>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</si>
  <si>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</si>
  <si>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</si>
  <si>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</si>
  <si>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</si>
  <si>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</si>
  <si>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</si>
  <si>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</si>
  <si>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</si>
  <si>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</si>
  <si>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</si>
  <si>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</si>
  <si>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</si>
  <si>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</si>
  <si>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</si>
  <si>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</si>
  <si>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</si>
  <si>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</si>
  <si>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</si>
  <si>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</si>
  <si>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</si>
  <si>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</si>
  <si>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</si>
  <si>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</si>
  <si>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</si>
  <si>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</si>
  <si>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</si>
  <si>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</si>
  <si>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</si>
  <si>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</si>
  <si>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</si>
  <si>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</si>
  <si>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</si>
  <si>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</si>
  <si>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</si>
  <si>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</si>
  <si>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</si>
  <si>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</si>
  <si>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</si>
  <si>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</si>
  <si>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</si>
  <si>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</si>
  <si>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</si>
  <si>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</si>
  <si>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</si>
  <si>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</si>
  <si>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</si>
  <si>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</si>
  <si>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</si>
  <si>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</si>
  <si>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</si>
  <si>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</si>
  <si>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</si>
  <si>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</si>
  <si>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</si>
  <si>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</si>
  <si>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</si>
  <si>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</si>
  <si>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</si>
  <si>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</si>
  <si>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</si>
  <si>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</si>
  <si>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</si>
  <si>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</si>
  <si>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</si>
  <si>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</si>
  <si>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</si>
  <si>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</si>
  <si>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</si>
  <si>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</si>
  <si>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</si>
  <si>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</si>
  <si>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</si>
  <si>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</si>
  <si>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</si>
  <si>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</si>
  <si>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</si>
  <si>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</si>
  <si>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</si>
  <si>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</si>
  <si>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</si>
  <si>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</si>
  <si>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</si>
  <si>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</si>
  <si>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HOSPITAL DONALDO SAUL MORON MANJARREZ</t>
  </si>
  <si>
    <t>ENERO A JULIO 2021</t>
  </si>
  <si>
    <t>De acuerdo a los componentes evaluados se puede determinar que viene operando articuladamente y de manera integrada, aunque falta contar con el liderazgo del equipo directivo y la coordinacion de las areas de gestion, pues son ellos los responsables de diseñar , mantener y mejorar el sistema de control interno de la entidad.</t>
  </si>
  <si>
    <t>el sistema de control in terno en la entidad  HOSPITAL DONALDO SAUL MORON MANJARREZ, no es tan efectivo , dado que se debe efectuar ajustes con el proposoto de realizar una mejora continua, principalmente por la situacion que estamos atravezando, que ha imposibilitado las reuniones prsenciales, por protocolos de distanciamientos. la entidad conto con el mapa de riesgos actualizado y aprobado por el comite institucional de control interno y con el plan de auditoria para la vigencia.</t>
  </si>
  <si>
    <t>para el primer semestre se lleva a cabo el comité institucional de coordinacion de control interno-MIPG y lineas de defensas</t>
  </si>
  <si>
    <r>
      <rPr>
        <b/>
        <sz val="12"/>
        <rFont val="Arial"/>
        <family val="2"/>
      </rPr>
      <t>Debilidades</t>
    </r>
    <r>
      <rPr>
        <sz val="12"/>
        <rFont val="Arial"/>
        <family val="2"/>
      </rPr>
      <t xml:space="preserve">:No se evidencia programas de preparacion para el retiro del servicio o de readtacion laboral del talento humano desvinculado.         </t>
    </r>
    <r>
      <rPr>
        <b/>
        <sz val="12"/>
        <rFont val="Arial"/>
        <family val="2"/>
      </rPr>
      <t>fortalezas:</t>
    </r>
    <r>
      <rPr>
        <sz val="12"/>
        <rFont val="Arial"/>
        <family val="2"/>
      </rPr>
      <t xml:space="preserve">*se cuenta con la politica de admnistraccion de riesgos acorde a los lineamientos de la guia para la administraccion de riesgos de gestion y corrupcion de la funcion publica.                                                                                                                                                                                                                                                                                                     *se cuenta  con el plan estrategico de talento humano para la vigencia 2020; aunque por la situacion que atravieza el pais no se pudo realizar algunas de las actividades de bienestar y estimulos alcanzados .                                                                                                                                                                                                                        *el comité institucional de coordinacion de control interno cumple las funciones de supervision del desempeño del SCI.                                                                       </t>
    </r>
  </si>
  <si>
    <r>
      <rPr>
        <b/>
        <sz val="12"/>
        <rFont val="Arial"/>
        <family val="2"/>
      </rPr>
      <t>Debilidades</t>
    </r>
    <r>
      <rPr>
        <sz val="12"/>
        <rFont val="Arial"/>
        <family val="2"/>
      </rPr>
      <t xml:space="preserve">: falta monitoreo por parte del comité institucional de coordinacion de control interno a los informes de la segunda linea de defensa.                                                                                                                                                                                                                                                                                             * la entidad no analiza el impacto sobre el control interno por cambios en los niveles organizacionales                                                       </t>
    </r>
    <r>
      <rPr>
        <b/>
        <sz val="12"/>
        <rFont val="Arial"/>
        <family val="2"/>
      </rPr>
      <t xml:space="preserve">fortaleza: </t>
    </r>
    <r>
      <rPr>
        <sz val="12"/>
        <rFont val="Arial"/>
        <family val="2"/>
      </rPr>
      <t xml:space="preserve">se hacen los seguimientos a los riesgos revisando la efectividad y aplicabilidad de los controles y seguimiento a las acciones formuladas. se cuenta con un plan anticorrupcion y atencion al ciudadano y tambien se cuenta con una matriz de riesgos institucionales                                                                                                                                                                                                                                                                                                           </t>
    </r>
  </si>
  <si>
    <r>
      <rPr>
        <b/>
        <sz val="12"/>
        <rFont val="Arial"/>
        <family val="2"/>
      </rPr>
      <t>Debilidades</t>
    </r>
    <r>
      <rPr>
        <sz val="12"/>
        <rFont val="Arial"/>
        <family val="2"/>
      </rPr>
      <t xml:space="preserve">:no se ha documentado las situaciones donde no es posible segregar adecuadamente las funciones, con el fin de definir actividad de control.                                                                                                                                                                                                                                                   no se tiene implemnetado el plan estrategico de tecnologias de la infromacion y comunicacion PETIC                                                                                                                                                                                                                                                                                  </t>
    </r>
    <r>
      <rPr>
        <b/>
        <sz val="12"/>
        <rFont val="Arial"/>
        <family val="2"/>
      </rPr>
      <t xml:space="preserve">Fortalezas: </t>
    </r>
    <r>
      <rPr>
        <sz val="12"/>
        <rFont val="Arial"/>
        <family val="2"/>
      </rPr>
      <t>Se  hacen seguimientos a la adopcion, implementacion de los controles, por parte de los responsables de la gestion. * se cuenta con matriz de riesgo de corrupcion y matriz de riesgo institucional.                                                                                                                                                * se cuenta con el perfil de los diferentes roles de usuarios que caracterizan las funciones de los diferentes responsables de la informacion.</t>
    </r>
  </si>
  <si>
    <r>
      <t>Debilidades</t>
    </r>
    <r>
      <rPr>
        <sz val="12"/>
        <rFont val="Arial"/>
        <family val="2"/>
      </rPr>
      <t xml:space="preserve">: no se  tiene caracterizado el usuario o grupo de valor.                                                                                                                                                 * no se tiene elaborado ni aprobado el programa de gestin documental                                                                                                                                                                                                                                      </t>
    </r>
    <r>
      <rPr>
        <b/>
        <sz val="12"/>
        <rFont val="Arial"/>
        <family val="2"/>
      </rPr>
      <t>Fortalezas</t>
    </r>
    <r>
      <rPr>
        <sz val="12"/>
        <rFont val="Arial"/>
        <family val="2"/>
      </rPr>
      <t>: la gerencia facilita comunicación interna mediante reuniones , donde se exponen las tareas realiazadas y las pendientes por realizar.                                                                                                                                                                                                                                          * la ESE se ha alineado a las politicas estabelecidas en el programa de gobierno digital.                                                                                                             * la entidad cuenta con su buzon de sugerencias.                                                                                                                                                                                                                                                                                  * la entidad cuenta con una pagina web poara que la comunidad tenga acceso a la informacion de la ESE</t>
    </r>
  </si>
  <si>
    <r>
      <t>Debilidades: los procesos tercerizados no han sido evaluados .                                                                                                  * fortalezas: s</t>
    </r>
    <r>
      <rPr>
        <sz val="12"/>
        <rFont val="Arial"/>
        <family val="2"/>
      </rPr>
      <t>e hacen seguimiento a la informacion suministrada por los usuarios (sistema PQRSF).                                                                                                                        * se mantiene un sistema de monitoreo de hallazgos y recomendaciones.*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</si>
</sst>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28">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43" fillId="0" borderId="2" xfId="0" applyFont="1" applyFill="1" applyBorder="1" applyAlignment="1" applyProtection="1">
      <alignment horizontal="center" vertical="center" wrapText="1"/>
      <protection locked="0"/>
    </xf>
    <xf numFmtId="0" fontId="36" fillId="0" borderId="79"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2" fillId="0" borderId="24" xfId="0" applyFont="1" applyFill="1" applyBorder="1" applyAlignment="1" applyProtection="1">
      <alignment horizontal="left" vertical="center" wrapText="1"/>
      <protection locked="0"/>
    </xf>
    <xf numFmtId="0" fontId="57" fillId="0" borderId="1" xfId="0" applyFont="1" applyFill="1" applyBorder="1" applyAlignment="1" applyProtection="1">
      <alignment horizontal="left" vertical="center" wrapText="1"/>
      <protection locked="0"/>
    </xf>
    <xf numFmtId="0" fontId="57" fillId="0" borderId="25" xfId="0" applyFont="1" applyFill="1" applyBorder="1" applyAlignment="1" applyProtection="1">
      <alignment horizontal="left" vertical="center" wrapText="1"/>
      <protection locked="0"/>
    </xf>
    <xf numFmtId="0" fontId="57" fillId="0" borderId="24" xfId="0" applyFont="1" applyFill="1" applyBorder="1" applyAlignment="1" applyProtection="1">
      <alignment horizontal="left" vertical="center" wrapText="1"/>
      <protection locked="0"/>
    </xf>
    <xf numFmtId="0" fontId="52" fillId="12" borderId="0" xfId="0" applyFont="1" applyFill="1" applyBorder="1" applyAlignment="1">
      <alignment horizontal="center" vertical="center" wrapText="1"/>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left" vertical="top" wrapText="1"/>
      <protection locked="0"/>
    </xf>
    <xf numFmtId="49" fontId="0" fillId="4" borderId="84"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86" xfId="0" applyNumberFormat="1" applyFill="1" applyBorder="1" applyAlignment="1" applyProtection="1">
      <alignment horizontal="left" vertical="top" wrapText="1"/>
      <protection locked="0"/>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10" zoomScale="90" zoomScaleNormal="90" workbookViewId="0">
      <selection activeCell="B6" sqref="B6:H7"/>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97" t="s">
        <v>0</v>
      </c>
      <c r="C2" s="198"/>
      <c r="D2" s="198"/>
      <c r="E2" s="198"/>
      <c r="F2" s="198"/>
      <c r="G2" s="198"/>
      <c r="H2" s="199"/>
    </row>
    <row r="3" spans="2:8" ht="65.25" customHeight="1" x14ac:dyDescent="0.2">
      <c r="B3" s="200" t="s">
        <v>1</v>
      </c>
      <c r="C3" s="201"/>
      <c r="D3" s="201"/>
      <c r="E3" s="201"/>
      <c r="F3" s="201"/>
      <c r="G3" s="201"/>
      <c r="H3" s="202"/>
    </row>
    <row r="4" spans="2:8" ht="82.5" customHeight="1" x14ac:dyDescent="0.2">
      <c r="B4" s="200"/>
      <c r="C4" s="201"/>
      <c r="D4" s="201"/>
      <c r="E4" s="201"/>
      <c r="F4" s="201"/>
      <c r="G4" s="201"/>
      <c r="H4" s="202"/>
    </row>
    <row r="5" spans="2:8" ht="21.75" customHeight="1" x14ac:dyDescent="0.2">
      <c r="B5" s="203" t="s">
        <v>2</v>
      </c>
      <c r="C5" s="204"/>
      <c r="D5" s="204"/>
      <c r="E5" s="204"/>
      <c r="F5" s="204"/>
      <c r="G5" s="204"/>
      <c r="H5" s="205"/>
    </row>
    <row r="6" spans="2:8" ht="42" customHeight="1" x14ac:dyDescent="0.2">
      <c r="B6" s="206" t="s">
        <v>3</v>
      </c>
      <c r="C6" s="207"/>
      <c r="D6" s="207"/>
      <c r="E6" s="207"/>
      <c r="F6" s="207"/>
      <c r="G6" s="207"/>
      <c r="H6" s="208"/>
    </row>
    <row r="7" spans="2:8" ht="14.25" customHeight="1" x14ac:dyDescent="0.2">
      <c r="B7" s="206"/>
      <c r="C7" s="207"/>
      <c r="D7" s="207"/>
      <c r="E7" s="207"/>
      <c r="F7" s="207"/>
      <c r="G7" s="207"/>
      <c r="H7" s="208"/>
    </row>
    <row r="8" spans="2:8" ht="12.75" customHeight="1" thickBot="1" x14ac:dyDescent="0.25">
      <c r="B8" s="57"/>
      <c r="C8" s="51"/>
      <c r="D8" s="67"/>
      <c r="E8" s="68"/>
      <c r="F8" s="68"/>
      <c r="G8" s="65"/>
      <c r="H8" s="66"/>
    </row>
    <row r="9" spans="2:8" ht="21" customHeight="1" thickTop="1" x14ac:dyDescent="0.2">
      <c r="B9" s="57"/>
      <c r="C9" s="209" t="s">
        <v>4</v>
      </c>
      <c r="D9" s="210"/>
      <c r="E9" s="211" t="s">
        <v>5</v>
      </c>
      <c r="F9" s="212"/>
      <c r="G9" s="51"/>
      <c r="H9" s="59"/>
    </row>
    <row r="10" spans="2:8" ht="37.5" customHeight="1" x14ac:dyDescent="0.2">
      <c r="B10" s="57"/>
      <c r="C10" s="189" t="s">
        <v>6</v>
      </c>
      <c r="D10" s="190"/>
      <c r="E10" s="191" t="s">
        <v>7</v>
      </c>
      <c r="F10" s="192"/>
      <c r="G10" s="51"/>
      <c r="H10" s="59"/>
    </row>
    <row r="11" spans="2:8" ht="39.75" customHeight="1" x14ac:dyDescent="0.2">
      <c r="B11" s="57"/>
      <c r="C11" s="193" t="s">
        <v>8</v>
      </c>
      <c r="D11" s="194"/>
      <c r="E11" s="170" t="s">
        <v>9</v>
      </c>
      <c r="F11" s="171"/>
      <c r="G11" s="51"/>
      <c r="H11" s="59"/>
    </row>
    <row r="12" spans="2:8" ht="59.25" customHeight="1" x14ac:dyDescent="0.2">
      <c r="B12" s="57"/>
      <c r="C12" s="193" t="s">
        <v>10</v>
      </c>
      <c r="D12" s="194"/>
      <c r="E12" s="195" t="s">
        <v>11</v>
      </c>
      <c r="F12" s="196"/>
      <c r="G12" s="51"/>
      <c r="H12" s="59"/>
    </row>
    <row r="13" spans="2:8" ht="33.75" customHeight="1" x14ac:dyDescent="0.2">
      <c r="B13" s="57"/>
      <c r="C13" s="168" t="s">
        <v>12</v>
      </c>
      <c r="D13" s="169"/>
      <c r="E13" s="170" t="s">
        <v>13</v>
      </c>
      <c r="F13" s="171"/>
      <c r="G13" s="51"/>
      <c r="H13" s="59"/>
    </row>
    <row r="14" spans="2:8" ht="19.5" customHeight="1" x14ac:dyDescent="0.2">
      <c r="B14" s="57"/>
      <c r="C14" s="63"/>
      <c r="D14" s="63"/>
      <c r="E14" s="64"/>
      <c r="F14" s="64"/>
      <c r="G14" s="51"/>
      <c r="H14" s="59"/>
    </row>
    <row r="15" spans="2:8" ht="37.5" customHeight="1" thickBot="1" x14ac:dyDescent="0.25">
      <c r="B15" s="164" t="s">
        <v>14</v>
      </c>
      <c r="C15" s="165"/>
      <c r="D15" s="165"/>
      <c r="E15" s="165"/>
      <c r="F15" s="165"/>
      <c r="G15" s="165"/>
      <c r="H15" s="166"/>
    </row>
    <row r="16" spans="2:8" ht="27.75" customHeight="1" thickBot="1" x14ac:dyDescent="0.25">
      <c r="B16" s="57"/>
      <c r="C16" s="172" t="s">
        <v>15</v>
      </c>
      <c r="D16" s="173"/>
      <c r="E16" s="173" t="s">
        <v>16</v>
      </c>
      <c r="F16" s="184"/>
      <c r="G16" s="51"/>
      <c r="H16" s="59"/>
    </row>
    <row r="17" spans="2:8" ht="27.75" customHeight="1" x14ac:dyDescent="0.2">
      <c r="B17" s="57"/>
      <c r="C17" s="185" t="s">
        <v>17</v>
      </c>
      <c r="D17" s="186"/>
      <c r="E17" s="187" t="s">
        <v>18</v>
      </c>
      <c r="F17" s="188"/>
      <c r="G17" s="101"/>
      <c r="H17" s="59"/>
    </row>
    <row r="18" spans="2:8" ht="41.25" customHeight="1" x14ac:dyDescent="0.2">
      <c r="B18" s="57"/>
      <c r="C18" s="174" t="s">
        <v>19</v>
      </c>
      <c r="D18" s="175"/>
      <c r="E18" s="176" t="s">
        <v>20</v>
      </c>
      <c r="F18" s="177"/>
      <c r="G18" s="102"/>
      <c r="H18" s="59"/>
    </row>
    <row r="19" spans="2:8" ht="37.5" customHeight="1" thickBot="1" x14ac:dyDescent="0.25">
      <c r="B19" s="57"/>
      <c r="C19" s="178" t="s">
        <v>21</v>
      </c>
      <c r="D19" s="179"/>
      <c r="E19" s="180" t="s">
        <v>22</v>
      </c>
      <c r="F19" s="181"/>
      <c r="G19" s="102"/>
      <c r="H19" s="59"/>
    </row>
    <row r="20" spans="2:8" ht="11.25" customHeight="1" x14ac:dyDescent="0.2">
      <c r="B20" s="52"/>
      <c r="C20" s="53"/>
      <c r="D20" s="53"/>
      <c r="E20" s="53"/>
      <c r="F20" s="53"/>
      <c r="G20" s="53"/>
      <c r="H20" s="54"/>
    </row>
    <row r="21" spans="2:8" ht="14.25" customHeight="1" x14ac:dyDescent="0.2">
      <c r="B21" s="55"/>
      <c r="C21" s="182"/>
      <c r="D21" s="182"/>
      <c r="E21" s="183"/>
      <c r="F21" s="183"/>
      <c r="G21" s="183"/>
      <c r="H21" s="56"/>
    </row>
    <row r="22" spans="2:8" ht="36" customHeight="1" x14ac:dyDescent="0.2">
      <c r="B22" s="164" t="s">
        <v>23</v>
      </c>
      <c r="C22" s="165"/>
      <c r="D22" s="165"/>
      <c r="E22" s="165"/>
      <c r="F22" s="165"/>
      <c r="G22" s="165"/>
      <c r="H22" s="166"/>
    </row>
    <row r="23" spans="2:8" ht="13.5" x14ac:dyDescent="0.2">
      <c r="B23" s="57"/>
      <c r="C23" s="58"/>
      <c r="D23" s="58"/>
      <c r="E23" s="167"/>
      <c r="F23" s="167"/>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opLeftCell="C30" zoomScale="80" zoomScaleNormal="80" workbookViewId="0">
      <selection activeCell="I17" sqref="I17"/>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13" t="s">
        <v>24</v>
      </c>
      <c r="C14" s="213"/>
      <c r="D14" s="213"/>
      <c r="E14" s="213"/>
      <c r="F14" s="213"/>
      <c r="G14" s="213"/>
      <c r="H14" s="213"/>
      <c r="I14" s="213"/>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80"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3" t="str">
        <f>1&amp;E16</f>
        <v>1a</v>
      </c>
      <c r="B16" s="229" t="s">
        <v>31</v>
      </c>
      <c r="C16" s="239" t="s">
        <v>32</v>
      </c>
      <c r="D16" s="226" t="s">
        <v>33</v>
      </c>
      <c r="E16" s="81" t="s">
        <v>34</v>
      </c>
      <c r="F16" s="82" t="s">
        <v>35</v>
      </c>
      <c r="G16" s="112" t="s">
        <v>76</v>
      </c>
      <c r="H16" s="113"/>
      <c r="I16" s="104" t="str">
        <f>+IF(G16="Si","Mantenimiento del control",IF(G16="En proceso","Oportunidad de mejora","Deficiencia de control"))</f>
        <v>Oportunidad de mejora</v>
      </c>
      <c r="J16" s="105">
        <f t="shared" ref="J16:J27" si="0">+IF(G16="Si",20,IF(G16="En proceso",10,0))</f>
        <v>10</v>
      </c>
      <c r="K16" s="105">
        <v>0.123</v>
      </c>
      <c r="L16" s="105">
        <f>+J16+K16</f>
        <v>10.122999999999999</v>
      </c>
    </row>
    <row r="17" spans="1:32" s="49" customFormat="1" ht="63" x14ac:dyDescent="0.25">
      <c r="A17" s="103" t="str">
        <f t="shared" ref="A17:A27" si="1">1&amp;E17</f>
        <v>1b</v>
      </c>
      <c r="B17" s="230"/>
      <c r="C17" s="240"/>
      <c r="D17" s="227"/>
      <c r="E17" s="83" t="s">
        <v>37</v>
      </c>
      <c r="F17" s="84" t="s">
        <v>38</v>
      </c>
      <c r="G17" s="114" t="s">
        <v>39</v>
      </c>
      <c r="H17" s="115"/>
      <c r="I17" s="106" t="str">
        <f t="shared" ref="I17:I59" si="2">+IF(G17="Si","Mantenimiento del control",IF(G17="En proceso","Oportunidad de mejora","Deficiencia de control"))</f>
        <v>Mantenimiento del control</v>
      </c>
      <c r="J17" s="107">
        <f t="shared" si="0"/>
        <v>20</v>
      </c>
      <c r="K17" s="105">
        <v>0.1234</v>
      </c>
      <c r="L17" s="105">
        <f t="shared" ref="L17:L59" si="3">+J17+K17</f>
        <v>20.1234</v>
      </c>
    </row>
    <row r="18" spans="1:32" s="49" customFormat="1" ht="64.5" customHeight="1" x14ac:dyDescent="0.25">
      <c r="A18" s="103" t="str">
        <f t="shared" si="1"/>
        <v>1c</v>
      </c>
      <c r="B18" s="230"/>
      <c r="C18" s="240"/>
      <c r="D18" s="227"/>
      <c r="E18" s="83" t="s">
        <v>40</v>
      </c>
      <c r="F18" s="85" t="s">
        <v>41</v>
      </c>
      <c r="G18" s="116" t="s">
        <v>39</v>
      </c>
      <c r="H18" s="117"/>
      <c r="I18" s="108" t="str">
        <f t="shared" si="2"/>
        <v>Mantenimiento del control</v>
      </c>
      <c r="J18" s="107">
        <f t="shared" si="0"/>
        <v>20</v>
      </c>
      <c r="K18" s="105">
        <v>0.12345</v>
      </c>
      <c r="L18" s="105">
        <f t="shared" si="3"/>
        <v>20.123449999999998</v>
      </c>
    </row>
    <row r="19" spans="1:32" s="49" customFormat="1" ht="37.5" customHeight="1" x14ac:dyDescent="0.25">
      <c r="A19" s="103" t="str">
        <f t="shared" si="1"/>
        <v>1d</v>
      </c>
      <c r="B19" s="230"/>
      <c r="C19" s="240"/>
      <c r="D19" s="227"/>
      <c r="E19" s="83" t="s">
        <v>42</v>
      </c>
      <c r="F19" s="85" t="s">
        <v>43</v>
      </c>
      <c r="G19" s="116" t="s">
        <v>39</v>
      </c>
      <c r="H19" s="117"/>
      <c r="I19" s="108" t="str">
        <f t="shared" si="2"/>
        <v>Mantenimiento del control</v>
      </c>
      <c r="J19" s="107">
        <f t="shared" si="0"/>
        <v>20</v>
      </c>
      <c r="K19" s="105">
        <v>0.123456</v>
      </c>
      <c r="L19" s="105">
        <f t="shared" si="3"/>
        <v>20.123456000000001</v>
      </c>
    </row>
    <row r="20" spans="1:32" s="49" customFormat="1" ht="37.5" customHeight="1" x14ac:dyDescent="0.25">
      <c r="A20" s="103" t="str">
        <f t="shared" si="1"/>
        <v>1e</v>
      </c>
      <c r="B20" s="230"/>
      <c r="C20" s="240"/>
      <c r="D20" s="227"/>
      <c r="E20" s="83" t="s">
        <v>44</v>
      </c>
      <c r="F20" s="85" t="s">
        <v>45</v>
      </c>
      <c r="G20" s="116" t="s">
        <v>39</v>
      </c>
      <c r="H20" s="117"/>
      <c r="I20" s="108" t="str">
        <f t="shared" si="2"/>
        <v>Mantenimiento del control</v>
      </c>
      <c r="J20" s="107">
        <f t="shared" si="0"/>
        <v>20</v>
      </c>
      <c r="K20" s="105">
        <v>0.12345678</v>
      </c>
      <c r="L20" s="105">
        <f t="shared" si="3"/>
        <v>20.123456780000001</v>
      </c>
    </row>
    <row r="21" spans="1:32" s="49" customFormat="1" ht="63.75" customHeight="1" x14ac:dyDescent="0.25">
      <c r="A21" s="103" t="str">
        <f t="shared" si="1"/>
        <v>1f</v>
      </c>
      <c r="B21" s="230"/>
      <c r="C21" s="240"/>
      <c r="D21" s="227"/>
      <c r="E21" s="83" t="s">
        <v>46</v>
      </c>
      <c r="F21" s="85" t="s">
        <v>47</v>
      </c>
      <c r="G21" s="116" t="s">
        <v>39</v>
      </c>
      <c r="H21" s="117"/>
      <c r="I21" s="108" t="str">
        <f t="shared" si="2"/>
        <v>Mantenimiento del control</v>
      </c>
      <c r="J21" s="107">
        <f t="shared" si="0"/>
        <v>20</v>
      </c>
      <c r="K21" s="105">
        <v>0.123456789</v>
      </c>
      <c r="L21" s="105">
        <f t="shared" si="3"/>
        <v>20.123456788999999</v>
      </c>
    </row>
    <row r="22" spans="1:32" s="49" customFormat="1" ht="65.25" customHeight="1" x14ac:dyDescent="0.25">
      <c r="A22" s="103" t="str">
        <f t="shared" si="1"/>
        <v>1g</v>
      </c>
      <c r="B22" s="230"/>
      <c r="C22" s="240"/>
      <c r="D22" s="227"/>
      <c r="E22" s="83" t="s">
        <v>48</v>
      </c>
      <c r="F22" s="85" t="s">
        <v>49</v>
      </c>
      <c r="G22" s="116" t="s">
        <v>39</v>
      </c>
      <c r="H22" s="117"/>
      <c r="I22" s="108" t="str">
        <f t="shared" si="2"/>
        <v>Mantenimiento del control</v>
      </c>
      <c r="J22" s="107">
        <f t="shared" si="0"/>
        <v>20</v>
      </c>
      <c r="K22" s="105">
        <v>0.12345678910000001</v>
      </c>
      <c r="L22" s="105">
        <f t="shared" si="3"/>
        <v>20.1234567891</v>
      </c>
    </row>
    <row r="23" spans="1:32" s="49" customFormat="1" ht="62.25" customHeight="1" x14ac:dyDescent="0.25">
      <c r="A23" s="103" t="str">
        <f t="shared" si="1"/>
        <v>1h</v>
      </c>
      <c r="B23" s="230"/>
      <c r="C23" s="240"/>
      <c r="D23" s="227"/>
      <c r="E23" s="83" t="s">
        <v>50</v>
      </c>
      <c r="F23" s="85" t="s">
        <v>51</v>
      </c>
      <c r="G23" s="116" t="s">
        <v>39</v>
      </c>
      <c r="H23" s="117"/>
      <c r="I23" s="108" t="str">
        <f t="shared" si="2"/>
        <v>Mantenimiento del control</v>
      </c>
      <c r="J23" s="107">
        <f t="shared" si="0"/>
        <v>20</v>
      </c>
      <c r="K23" s="105">
        <v>0.12345678911999999</v>
      </c>
      <c r="L23" s="105">
        <f t="shared" si="3"/>
        <v>20.123456789119999</v>
      </c>
    </row>
    <row r="24" spans="1:32" s="49" customFormat="1" ht="57.75" customHeight="1" x14ac:dyDescent="0.25">
      <c r="A24" s="103" t="str">
        <f t="shared" si="1"/>
        <v>1i</v>
      </c>
      <c r="B24" s="230"/>
      <c r="C24" s="240"/>
      <c r="D24" s="227"/>
      <c r="E24" s="83" t="s">
        <v>52</v>
      </c>
      <c r="F24" s="85" t="s">
        <v>53</v>
      </c>
      <c r="G24" s="116" t="s">
        <v>39</v>
      </c>
      <c r="H24" s="117"/>
      <c r="I24" s="108" t="str">
        <f t="shared" si="2"/>
        <v>Mantenimiento del control</v>
      </c>
      <c r="J24" s="107">
        <f t="shared" si="0"/>
        <v>20</v>
      </c>
      <c r="K24" s="105">
        <v>0.123456789123</v>
      </c>
      <c r="L24" s="105">
        <f t="shared" si="3"/>
        <v>20.123456789123001</v>
      </c>
    </row>
    <row r="25" spans="1:32" s="49" customFormat="1" ht="52.5" customHeight="1" x14ac:dyDescent="0.25">
      <c r="A25" s="103" t="str">
        <f t="shared" si="1"/>
        <v>1j</v>
      </c>
      <c r="B25" s="230"/>
      <c r="C25" s="240"/>
      <c r="D25" s="227"/>
      <c r="E25" s="83" t="s">
        <v>54</v>
      </c>
      <c r="F25" s="85" t="s">
        <v>55</v>
      </c>
      <c r="G25" s="116" t="s">
        <v>39</v>
      </c>
      <c r="H25" s="117"/>
      <c r="I25" s="108" t="str">
        <f t="shared" si="2"/>
        <v>Mantenimiento del control</v>
      </c>
      <c r="J25" s="107">
        <f t="shared" si="0"/>
        <v>20</v>
      </c>
      <c r="K25" s="105">
        <v>0.1234567891234</v>
      </c>
      <c r="L25" s="105">
        <f t="shared" si="3"/>
        <v>20.123456789123399</v>
      </c>
    </row>
    <row r="26" spans="1:32" s="49" customFormat="1" ht="42" customHeight="1" x14ac:dyDescent="0.25">
      <c r="A26" s="103" t="str">
        <f t="shared" si="1"/>
        <v>1k</v>
      </c>
      <c r="B26" s="230"/>
      <c r="C26" s="240"/>
      <c r="D26" s="227"/>
      <c r="E26" s="83" t="s">
        <v>56</v>
      </c>
      <c r="F26" s="85" t="s">
        <v>57</v>
      </c>
      <c r="G26" s="116" t="s">
        <v>39</v>
      </c>
      <c r="H26" s="117"/>
      <c r="I26" s="108" t="str">
        <f t="shared" si="2"/>
        <v>Mantenimiento del control</v>
      </c>
      <c r="J26" s="107">
        <f t="shared" si="0"/>
        <v>20</v>
      </c>
      <c r="K26" s="105">
        <v>0.12345678912345</v>
      </c>
      <c r="L26" s="105">
        <f t="shared" si="3"/>
        <v>20.123456789123448</v>
      </c>
    </row>
    <row r="27" spans="1:32" s="49" customFormat="1" ht="32.25" thickBot="1" x14ac:dyDescent="0.3">
      <c r="A27" s="103" t="str">
        <f t="shared" si="1"/>
        <v>1l</v>
      </c>
      <c r="B27" s="231"/>
      <c r="C27" s="241"/>
      <c r="D27" s="228"/>
      <c r="E27" s="86" t="s">
        <v>58</v>
      </c>
      <c r="F27" s="87" t="s">
        <v>59</v>
      </c>
      <c r="G27" s="118" t="s">
        <v>39</v>
      </c>
      <c r="H27" s="119"/>
      <c r="I27" s="109" t="str">
        <f t="shared" si="2"/>
        <v>Mantenimiento del control</v>
      </c>
      <c r="J27" s="107">
        <f t="shared" si="0"/>
        <v>20</v>
      </c>
      <c r="K27" s="105">
        <v>0.12345678912345601</v>
      </c>
      <c r="L27" s="105">
        <f t="shared" si="3"/>
        <v>20.123456789123455</v>
      </c>
    </row>
    <row r="28" spans="1:32" s="49" customFormat="1" ht="44.25" customHeight="1" x14ac:dyDescent="0.25">
      <c r="A28" s="103" t="str">
        <f>2&amp;E28</f>
        <v>2a</v>
      </c>
      <c r="B28" s="232" t="s">
        <v>60</v>
      </c>
      <c r="C28" s="242" t="s">
        <v>61</v>
      </c>
      <c r="D28" s="235" t="s">
        <v>62</v>
      </c>
      <c r="E28" s="81" t="s">
        <v>34</v>
      </c>
      <c r="F28" s="82" t="s">
        <v>63</v>
      </c>
      <c r="G28" s="112" t="s">
        <v>39</v>
      </c>
      <c r="H28" s="113"/>
      <c r="I28" s="104" t="str">
        <f t="shared" si="2"/>
        <v>Mantenimiento del control</v>
      </c>
      <c r="J28" s="105">
        <f>+IF(G28="Si",40,IF(G28="En proceso",30,20))</f>
        <v>40</v>
      </c>
      <c r="K28" s="105">
        <v>0.23</v>
      </c>
      <c r="L28" s="105">
        <f t="shared" si="3"/>
        <v>40.229999999999997</v>
      </c>
    </row>
    <row r="29" spans="1:32" s="49" customFormat="1" ht="63" x14ac:dyDescent="0.25">
      <c r="A29" s="103" t="str">
        <f t="shared" ref="A29:A31" si="4">2&amp;E29</f>
        <v>2b</v>
      </c>
      <c r="B29" s="233"/>
      <c r="C29" s="243"/>
      <c r="D29" s="236"/>
      <c r="E29" s="83" t="s">
        <v>37</v>
      </c>
      <c r="F29" s="85" t="s">
        <v>64</v>
      </c>
      <c r="G29" s="116" t="s">
        <v>39</v>
      </c>
      <c r="H29" s="117"/>
      <c r="I29" s="108" t="str">
        <f t="shared" si="2"/>
        <v>Mantenimiento del control</v>
      </c>
      <c r="J29" s="105">
        <f>+IF(G29="Si",40,IF(G29="En proceso",30,20))</f>
        <v>40</v>
      </c>
      <c r="K29" s="105">
        <v>0.23400000000000001</v>
      </c>
      <c r="L29" s="105">
        <f t="shared" si="3"/>
        <v>40.234000000000002</v>
      </c>
    </row>
    <row r="30" spans="1:32" s="49" customFormat="1" ht="47.25" x14ac:dyDescent="0.25">
      <c r="A30" s="103" t="str">
        <f t="shared" si="4"/>
        <v>2c</v>
      </c>
      <c r="B30" s="233"/>
      <c r="C30" s="243"/>
      <c r="D30" s="236"/>
      <c r="E30" s="83" t="s">
        <v>40</v>
      </c>
      <c r="F30" s="85" t="s">
        <v>65</v>
      </c>
      <c r="G30" s="116" t="s">
        <v>39</v>
      </c>
      <c r="H30" s="117"/>
      <c r="I30" s="108" t="str">
        <f t="shared" si="2"/>
        <v>Mantenimiento del control</v>
      </c>
      <c r="J30" s="105">
        <f>+IF(G30="Si",40,IF(G30="En proceso",30,20))</f>
        <v>40</v>
      </c>
      <c r="K30" s="105">
        <v>0.23449999999999999</v>
      </c>
      <c r="L30" s="105">
        <f t="shared" si="3"/>
        <v>40.234499999999997</v>
      </c>
    </row>
    <row r="31" spans="1:32" s="49" customFormat="1" ht="63.75" thickBot="1" x14ac:dyDescent="0.3">
      <c r="A31" s="103" t="str">
        <f t="shared" si="4"/>
        <v>2d</v>
      </c>
      <c r="B31" s="234"/>
      <c r="C31" s="244"/>
      <c r="D31" s="237"/>
      <c r="E31" s="86" t="s">
        <v>42</v>
      </c>
      <c r="F31" s="87" t="s">
        <v>66</v>
      </c>
      <c r="G31" s="118" t="s">
        <v>39</v>
      </c>
      <c r="H31" s="119"/>
      <c r="I31" s="109" t="str">
        <f t="shared" si="2"/>
        <v>Mantenimiento del control</v>
      </c>
      <c r="J31" s="105">
        <f>+IF(G31="Si",40,IF(G31="En proceso",30,20))</f>
        <v>40</v>
      </c>
      <c r="K31" s="105">
        <v>0.23455999999999999</v>
      </c>
      <c r="L31" s="105">
        <f t="shared" si="3"/>
        <v>40.234560000000002</v>
      </c>
    </row>
    <row r="32" spans="1:32" s="49" customFormat="1" ht="49.5" customHeight="1" x14ac:dyDescent="0.25">
      <c r="A32" s="103" t="str">
        <f>3&amp;E32</f>
        <v>3a</v>
      </c>
      <c r="B32" s="254" t="s">
        <v>67</v>
      </c>
      <c r="C32" s="254" t="s">
        <v>61</v>
      </c>
      <c r="D32" s="255" t="s">
        <v>68</v>
      </c>
      <c r="E32" s="88" t="s">
        <v>34</v>
      </c>
      <c r="F32" s="85" t="s">
        <v>69</v>
      </c>
      <c r="G32" s="116" t="s">
        <v>39</v>
      </c>
      <c r="H32" s="117"/>
      <c r="I32" s="108" t="str">
        <f t="shared" si="2"/>
        <v>Mantenimiento del control</v>
      </c>
      <c r="J32" s="105">
        <f t="shared" ref="J32:J37" si="5">+IF(G32="Si",40,IF(G32="En proceso",30,20))</f>
        <v>40</v>
      </c>
      <c r="K32" s="110">
        <v>0.234567</v>
      </c>
      <c r="L32" s="105">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49.5" customHeight="1" x14ac:dyDescent="0.25">
      <c r="A33" s="103" t="str">
        <f t="shared" ref="A33:A34" si="7">3&amp;E33</f>
        <v>3b</v>
      </c>
      <c r="B33" s="254"/>
      <c r="C33" s="254"/>
      <c r="D33" s="255"/>
      <c r="E33" s="88" t="s">
        <v>37</v>
      </c>
      <c r="F33" s="85" t="s">
        <v>70</v>
      </c>
      <c r="G33" s="116" t="s">
        <v>39</v>
      </c>
      <c r="H33" s="117"/>
      <c r="I33" s="108" t="str">
        <f t="shared" si="2"/>
        <v>Mantenimiento del control</v>
      </c>
      <c r="J33" s="105">
        <f t="shared" si="5"/>
        <v>40</v>
      </c>
      <c r="K33" s="110">
        <v>0.23456779999999999</v>
      </c>
      <c r="L33" s="105">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6" customHeight="1" thickBot="1" x14ac:dyDescent="0.3">
      <c r="A34" s="103" t="str">
        <f t="shared" si="7"/>
        <v>3c</v>
      </c>
      <c r="B34" s="254"/>
      <c r="C34" s="254"/>
      <c r="D34" s="255"/>
      <c r="E34" s="88" t="s">
        <v>40</v>
      </c>
      <c r="F34" s="85" t="s">
        <v>71</v>
      </c>
      <c r="G34" s="116" t="s">
        <v>39</v>
      </c>
      <c r="H34" s="117"/>
      <c r="I34" s="108" t="str">
        <f t="shared" si="2"/>
        <v>Mantenimiento del control</v>
      </c>
      <c r="J34" s="105">
        <f t="shared" si="5"/>
        <v>40</v>
      </c>
      <c r="K34" s="110">
        <v>0.23456789</v>
      </c>
      <c r="L34" s="105">
        <f t="shared" si="6"/>
        <v>40.234567890000001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103" t="str">
        <f>4&amp;E35</f>
        <v>4a</v>
      </c>
      <c r="B35" s="256" t="s">
        <v>72</v>
      </c>
      <c r="C35" s="243" t="s">
        <v>61</v>
      </c>
      <c r="D35" s="236" t="s">
        <v>73</v>
      </c>
      <c r="E35" s="81" t="s">
        <v>34</v>
      </c>
      <c r="F35" s="82" t="s">
        <v>74</v>
      </c>
      <c r="G35" s="112" t="s">
        <v>39</v>
      </c>
      <c r="H35" s="113"/>
      <c r="I35" s="104" t="str">
        <f t="shared" si="2"/>
        <v>Mantenimiento del control</v>
      </c>
      <c r="J35" s="105">
        <f t="shared" si="5"/>
        <v>40</v>
      </c>
      <c r="K35" s="110">
        <v>0.23456789119999999</v>
      </c>
      <c r="L35" s="105">
        <f t="shared" si="6"/>
        <v>40.234567891200001</v>
      </c>
      <c r="M35" s="48"/>
      <c r="N35" s="48"/>
      <c r="O35" s="48"/>
      <c r="P35" s="48"/>
      <c r="Q35" s="48"/>
    </row>
    <row r="36" spans="1:32" s="49" customFormat="1" ht="57.75" customHeight="1" x14ac:dyDescent="0.25">
      <c r="A36" s="103" t="str">
        <f t="shared" ref="A36:A37" si="8">4&amp;E36</f>
        <v>4b</v>
      </c>
      <c r="B36" s="256"/>
      <c r="C36" s="243"/>
      <c r="D36" s="236"/>
      <c r="E36" s="83" t="s">
        <v>37</v>
      </c>
      <c r="F36" s="85" t="s">
        <v>75</v>
      </c>
      <c r="G36" s="116" t="s">
        <v>76</v>
      </c>
      <c r="H36" s="117"/>
      <c r="I36" s="108" t="str">
        <f t="shared" si="2"/>
        <v>Oportunidad de mejora</v>
      </c>
      <c r="J36" s="105">
        <f t="shared" si="5"/>
        <v>30</v>
      </c>
      <c r="K36" s="110">
        <v>0.23456789122999999</v>
      </c>
      <c r="L36" s="105">
        <f t="shared" si="6"/>
        <v>30.23456789123</v>
      </c>
      <c r="M36" s="48"/>
      <c r="N36" s="48"/>
      <c r="O36" s="48"/>
      <c r="P36" s="48"/>
      <c r="Q36" s="48"/>
    </row>
    <row r="37" spans="1:32" s="49" customFormat="1" ht="49.5" customHeight="1" thickBot="1" x14ac:dyDescent="0.3">
      <c r="A37" s="103" t="str">
        <f t="shared" si="8"/>
        <v>4c</v>
      </c>
      <c r="B37" s="256"/>
      <c r="C37" s="243"/>
      <c r="D37" s="236"/>
      <c r="E37" s="83" t="s">
        <v>40</v>
      </c>
      <c r="F37" s="85" t="s">
        <v>77</v>
      </c>
      <c r="G37" s="116" t="s">
        <v>39</v>
      </c>
      <c r="H37" s="117"/>
      <c r="I37" s="108" t="str">
        <f t="shared" si="2"/>
        <v>Mantenimiento del control</v>
      </c>
      <c r="J37" s="105">
        <f t="shared" si="5"/>
        <v>40</v>
      </c>
      <c r="K37" s="110">
        <v>0.23456789123399999</v>
      </c>
      <c r="L37" s="105">
        <f t="shared" si="6"/>
        <v>40.234567891234001</v>
      </c>
      <c r="M37" s="48"/>
      <c r="N37" s="48"/>
      <c r="O37" s="48"/>
      <c r="P37" s="48"/>
      <c r="Q37" s="48"/>
    </row>
    <row r="38" spans="1:32" s="49" customFormat="1" ht="85.5" customHeight="1" x14ac:dyDescent="0.25">
      <c r="A38" s="103" t="str">
        <f>5&amp;E38</f>
        <v>5a</v>
      </c>
      <c r="B38" s="257" t="s">
        <v>78</v>
      </c>
      <c r="C38" s="245" t="s">
        <v>79</v>
      </c>
      <c r="D38" s="260" t="s">
        <v>80</v>
      </c>
      <c r="E38" s="81" t="s">
        <v>34</v>
      </c>
      <c r="F38" s="89" t="s">
        <v>81</v>
      </c>
      <c r="G38" s="120" t="s">
        <v>76</v>
      </c>
      <c r="H38" s="121"/>
      <c r="I38" s="111" t="str">
        <f t="shared" si="2"/>
        <v>Oportunidad de mejora</v>
      </c>
      <c r="J38" s="105">
        <f>+IF(G38="Si",60,IF(G38="En proceso",50,40))</f>
        <v>50</v>
      </c>
      <c r="K38" s="105">
        <v>0.31</v>
      </c>
      <c r="L38" s="105">
        <f t="shared" si="3"/>
        <v>50.31</v>
      </c>
    </row>
    <row r="39" spans="1:32" s="49" customFormat="1" ht="63" x14ac:dyDescent="0.25">
      <c r="A39" s="103" t="str">
        <f t="shared" ref="A39:A42" si="9">5&amp;E39</f>
        <v>5b</v>
      </c>
      <c r="B39" s="258"/>
      <c r="C39" s="246"/>
      <c r="D39" s="261"/>
      <c r="E39" s="83" t="s">
        <v>37</v>
      </c>
      <c r="F39" s="85" t="s">
        <v>82</v>
      </c>
      <c r="G39" s="116" t="s">
        <v>76</v>
      </c>
      <c r="H39" s="117"/>
      <c r="I39" s="108" t="str">
        <f t="shared" si="2"/>
        <v>Oportunidad de mejora</v>
      </c>
      <c r="J39" s="105">
        <f>+IF(G39="Si",60,IF(G39="En proceso",50,40))</f>
        <v>50</v>
      </c>
      <c r="K39" s="105">
        <v>0.32300000000000001</v>
      </c>
      <c r="L39" s="105">
        <f t="shared" si="3"/>
        <v>50.323</v>
      </c>
    </row>
    <row r="40" spans="1:32" s="49" customFormat="1" ht="47.25" x14ac:dyDescent="0.25">
      <c r="A40" s="103" t="str">
        <f t="shared" si="9"/>
        <v>5c</v>
      </c>
      <c r="B40" s="258"/>
      <c r="C40" s="246"/>
      <c r="D40" s="261"/>
      <c r="E40" s="83" t="s">
        <v>40</v>
      </c>
      <c r="F40" s="85" t="s">
        <v>83</v>
      </c>
      <c r="G40" s="116" t="s">
        <v>76</v>
      </c>
      <c r="H40" s="117"/>
      <c r="I40" s="108" t="str">
        <f t="shared" si="2"/>
        <v>Oportunidad de mejora</v>
      </c>
      <c r="J40" s="105">
        <f>+IF(G40="Si",60,IF(G40="En proceso",50,40))</f>
        <v>50</v>
      </c>
      <c r="K40" s="105">
        <v>0.32400000000000001</v>
      </c>
      <c r="L40" s="105">
        <f t="shared" si="3"/>
        <v>50.323999999999998</v>
      </c>
    </row>
    <row r="41" spans="1:32" s="49" customFormat="1" ht="94.5" x14ac:dyDescent="0.25">
      <c r="A41" s="103" t="str">
        <f t="shared" si="9"/>
        <v>5d</v>
      </c>
      <c r="B41" s="258"/>
      <c r="C41" s="246"/>
      <c r="D41" s="261"/>
      <c r="E41" s="83" t="s">
        <v>42</v>
      </c>
      <c r="F41" s="85" t="s">
        <v>84</v>
      </c>
      <c r="G41" s="116" t="s">
        <v>36</v>
      </c>
      <c r="H41" s="117"/>
      <c r="I41" s="108" t="str">
        <f t="shared" si="2"/>
        <v>Deficiencia de control</v>
      </c>
      <c r="J41" s="105">
        <f>+IF(G41="Si",60,IF(G41="En proceso",50,40))</f>
        <v>40</v>
      </c>
      <c r="K41" s="105">
        <v>0.32500000000000001</v>
      </c>
      <c r="L41" s="105">
        <f t="shared" si="3"/>
        <v>40.325000000000003</v>
      </c>
    </row>
    <row r="42" spans="1:32" s="49" customFormat="1" ht="48" thickBot="1" x14ac:dyDescent="0.3">
      <c r="A42" s="103" t="str">
        <f t="shared" si="9"/>
        <v>5e</v>
      </c>
      <c r="B42" s="259"/>
      <c r="C42" s="247"/>
      <c r="D42" s="262"/>
      <c r="E42" s="86" t="s">
        <v>44</v>
      </c>
      <c r="F42" s="87" t="s">
        <v>85</v>
      </c>
      <c r="G42" s="118" t="s">
        <v>39</v>
      </c>
      <c r="H42" s="119"/>
      <c r="I42" s="109" t="str">
        <f t="shared" si="2"/>
        <v>Mantenimiento del control</v>
      </c>
      <c r="J42" s="105">
        <f>+IF(G42="Si",60,IF(G42="En proceso",50,40))</f>
        <v>60</v>
      </c>
      <c r="K42" s="105">
        <v>0.32600000000000001</v>
      </c>
      <c r="L42" s="105">
        <f t="shared" si="3"/>
        <v>60.326000000000001</v>
      </c>
    </row>
    <row r="43" spans="1:32" s="49" customFormat="1" ht="40.5" customHeight="1" x14ac:dyDescent="0.25">
      <c r="A43" s="103" t="str">
        <f>6&amp;E43</f>
        <v>6a</v>
      </c>
      <c r="B43" s="217" t="s">
        <v>86</v>
      </c>
      <c r="C43" s="248" t="s">
        <v>87</v>
      </c>
      <c r="D43" s="214" t="s">
        <v>88</v>
      </c>
      <c r="E43" s="81" t="s">
        <v>34</v>
      </c>
      <c r="F43" s="82" t="s">
        <v>89</v>
      </c>
      <c r="G43" s="112" t="s">
        <v>39</v>
      </c>
      <c r="H43" s="113"/>
      <c r="I43" s="104" t="str">
        <f t="shared" si="2"/>
        <v>Mantenimiento del control</v>
      </c>
      <c r="J43" s="105">
        <f t="shared" ref="J43:J49" si="10">+IF(G43="Si",80,IF(G43="En proceso",70,60))</f>
        <v>80</v>
      </c>
      <c r="K43" s="105">
        <v>0.41199999999999998</v>
      </c>
      <c r="L43" s="105">
        <f t="shared" si="3"/>
        <v>80.412000000000006</v>
      </c>
    </row>
    <row r="44" spans="1:32" s="49" customFormat="1" ht="33" customHeight="1" x14ac:dyDescent="0.25">
      <c r="A44" s="103" t="str">
        <f t="shared" ref="A44:A49" si="11">6&amp;E44</f>
        <v>6b</v>
      </c>
      <c r="B44" s="218"/>
      <c r="C44" s="249"/>
      <c r="D44" s="215"/>
      <c r="E44" s="83" t="s">
        <v>37</v>
      </c>
      <c r="F44" s="85" t="s">
        <v>90</v>
      </c>
      <c r="G44" s="116" t="s">
        <v>39</v>
      </c>
      <c r="H44" s="117"/>
      <c r="I44" s="108" t="str">
        <f t="shared" si="2"/>
        <v>Mantenimiento del control</v>
      </c>
      <c r="J44" s="105">
        <f t="shared" si="10"/>
        <v>80</v>
      </c>
      <c r="K44" s="105">
        <v>0.4123</v>
      </c>
      <c r="L44" s="105">
        <f t="shared" si="3"/>
        <v>80.412300000000002</v>
      </c>
    </row>
    <row r="45" spans="1:32" s="49" customFormat="1" ht="47.25" x14ac:dyDescent="0.25">
      <c r="A45" s="103" t="str">
        <f t="shared" si="11"/>
        <v>6c</v>
      </c>
      <c r="B45" s="218"/>
      <c r="C45" s="249"/>
      <c r="D45" s="215"/>
      <c r="E45" s="83" t="s">
        <v>40</v>
      </c>
      <c r="F45" s="85" t="s">
        <v>91</v>
      </c>
      <c r="G45" s="116" t="s">
        <v>39</v>
      </c>
      <c r="H45" s="117"/>
      <c r="I45" s="108" t="str">
        <f t="shared" si="2"/>
        <v>Mantenimiento del control</v>
      </c>
      <c r="J45" s="105">
        <f t="shared" si="10"/>
        <v>80</v>
      </c>
      <c r="K45" s="105">
        <v>0.41233999999999998</v>
      </c>
      <c r="L45" s="105">
        <f t="shared" si="3"/>
        <v>80.41234</v>
      </c>
    </row>
    <row r="46" spans="1:32" s="49" customFormat="1" ht="31.5" x14ac:dyDescent="0.25">
      <c r="A46" s="103" t="str">
        <f t="shared" si="11"/>
        <v>6d</v>
      </c>
      <c r="B46" s="218"/>
      <c r="C46" s="249"/>
      <c r="D46" s="215"/>
      <c r="E46" s="83" t="s">
        <v>42</v>
      </c>
      <c r="F46" s="85" t="s">
        <v>92</v>
      </c>
      <c r="G46" s="116" t="s">
        <v>39</v>
      </c>
      <c r="H46" s="117"/>
      <c r="I46" s="108" t="str">
        <f t="shared" si="2"/>
        <v>Mantenimiento del control</v>
      </c>
      <c r="J46" s="105">
        <f t="shared" si="10"/>
        <v>80</v>
      </c>
      <c r="K46" s="105">
        <v>0.41234500000000002</v>
      </c>
      <c r="L46" s="105">
        <f t="shared" si="3"/>
        <v>80.412345000000002</v>
      </c>
    </row>
    <row r="47" spans="1:32" s="49" customFormat="1" ht="63" x14ac:dyDescent="0.25">
      <c r="A47" s="103" t="str">
        <f t="shared" si="11"/>
        <v>6e</v>
      </c>
      <c r="B47" s="218"/>
      <c r="C47" s="249"/>
      <c r="D47" s="215"/>
      <c r="E47" s="83" t="s">
        <v>44</v>
      </c>
      <c r="F47" s="85" t="s">
        <v>93</v>
      </c>
      <c r="G47" s="116" t="s">
        <v>76</v>
      </c>
      <c r="H47" s="117"/>
      <c r="I47" s="108" t="str">
        <f t="shared" si="2"/>
        <v>Oportunidad de mejora</v>
      </c>
      <c r="J47" s="105">
        <f t="shared" si="10"/>
        <v>70</v>
      </c>
      <c r="K47" s="105">
        <v>0.41234559999999998</v>
      </c>
      <c r="L47" s="105">
        <f t="shared" si="3"/>
        <v>70.412345599999995</v>
      </c>
    </row>
    <row r="48" spans="1:32" s="49" customFormat="1" ht="63" x14ac:dyDescent="0.25">
      <c r="A48" s="103" t="str">
        <f t="shared" si="11"/>
        <v>6f</v>
      </c>
      <c r="B48" s="218"/>
      <c r="C48" s="249"/>
      <c r="D48" s="215"/>
      <c r="E48" s="83" t="s">
        <v>46</v>
      </c>
      <c r="F48" s="85" t="s">
        <v>94</v>
      </c>
      <c r="G48" s="116" t="s">
        <v>76</v>
      </c>
      <c r="H48" s="117"/>
      <c r="I48" s="108" t="str">
        <f t="shared" si="2"/>
        <v>Oportunidad de mejora</v>
      </c>
      <c r="J48" s="105">
        <f t="shared" si="10"/>
        <v>70</v>
      </c>
      <c r="K48" s="105">
        <v>0.41234567</v>
      </c>
      <c r="L48" s="105">
        <f t="shared" si="3"/>
        <v>70.412345669999993</v>
      </c>
    </row>
    <row r="49" spans="1:17" s="49" customFormat="1" ht="48" thickBot="1" x14ac:dyDescent="0.3">
      <c r="A49" s="103" t="str">
        <f t="shared" si="11"/>
        <v>6g</v>
      </c>
      <c r="B49" s="219"/>
      <c r="C49" s="250"/>
      <c r="D49" s="216"/>
      <c r="E49" s="86" t="s">
        <v>48</v>
      </c>
      <c r="F49" s="87" t="s">
        <v>95</v>
      </c>
      <c r="G49" s="118" t="s">
        <v>39</v>
      </c>
      <c r="H49" s="119"/>
      <c r="I49" s="109" t="str">
        <f t="shared" si="2"/>
        <v>Mantenimiento del control</v>
      </c>
      <c r="J49" s="105">
        <f t="shared" si="10"/>
        <v>80</v>
      </c>
      <c r="K49" s="105">
        <v>0.41234567799999999</v>
      </c>
      <c r="L49" s="105">
        <f t="shared" si="3"/>
        <v>80.412345677999994</v>
      </c>
    </row>
    <row r="50" spans="1:17" s="49" customFormat="1" ht="54.75" customHeight="1" x14ac:dyDescent="0.25">
      <c r="A50" s="103" t="str">
        <f>7&amp;E50</f>
        <v>7a</v>
      </c>
      <c r="B50" s="223" t="s">
        <v>96</v>
      </c>
      <c r="C50" s="251" t="s">
        <v>97</v>
      </c>
      <c r="D50" s="220" t="s">
        <v>98</v>
      </c>
      <c r="E50" s="81" t="s">
        <v>34</v>
      </c>
      <c r="F50" s="82" t="s">
        <v>99</v>
      </c>
      <c r="G50" s="112" t="s">
        <v>76</v>
      </c>
      <c r="H50" s="113"/>
      <c r="I50" s="104" t="str">
        <f t="shared" si="2"/>
        <v>Oportunidad de mejora</v>
      </c>
      <c r="J50" s="105">
        <f>+IF(G50="Si",120,IF(G50="En proceso",100,80))</f>
        <v>100</v>
      </c>
      <c r="K50" s="105">
        <v>0.85099999999999998</v>
      </c>
      <c r="L50" s="105">
        <f t="shared" si="3"/>
        <v>100.851</v>
      </c>
    </row>
    <row r="51" spans="1:17" s="49" customFormat="1" ht="94.5" x14ac:dyDescent="0.25">
      <c r="A51" s="103" t="str">
        <f t="shared" ref="A51:A53" si="12">7&amp;E51</f>
        <v>7d</v>
      </c>
      <c r="B51" s="224"/>
      <c r="C51" s="252"/>
      <c r="D51" s="221"/>
      <c r="E51" s="83" t="s">
        <v>42</v>
      </c>
      <c r="F51" s="85" t="s">
        <v>100</v>
      </c>
      <c r="G51" s="116" t="s">
        <v>76</v>
      </c>
      <c r="H51" s="117"/>
      <c r="I51" s="108" t="str">
        <f t="shared" si="2"/>
        <v>Oportunidad de mejora</v>
      </c>
      <c r="J51" s="105">
        <f t="shared" ref="J51:J59" si="13">+IF(G51="Si",120,IF(G51="En proceso",100,80))</f>
        <v>100</v>
      </c>
      <c r="K51" s="105">
        <v>0.85119999999999996</v>
      </c>
      <c r="L51" s="105">
        <f t="shared" si="3"/>
        <v>100.85120000000001</v>
      </c>
    </row>
    <row r="52" spans="1:17" s="49" customFormat="1" ht="47.25" x14ac:dyDescent="0.25">
      <c r="A52" s="103" t="str">
        <f t="shared" si="12"/>
        <v>7f</v>
      </c>
      <c r="B52" s="224"/>
      <c r="C52" s="252"/>
      <c r="D52" s="221"/>
      <c r="E52" s="83" t="s">
        <v>46</v>
      </c>
      <c r="F52" s="85" t="s">
        <v>101</v>
      </c>
      <c r="G52" s="116" t="s">
        <v>39</v>
      </c>
      <c r="H52" s="117"/>
      <c r="I52" s="108" t="str">
        <f t="shared" si="2"/>
        <v>Mantenimiento del control</v>
      </c>
      <c r="J52" s="105">
        <f t="shared" si="13"/>
        <v>120</v>
      </c>
      <c r="K52" s="105">
        <v>0.85123000000000004</v>
      </c>
      <c r="L52" s="105">
        <f t="shared" si="3"/>
        <v>120.85123</v>
      </c>
    </row>
    <row r="53" spans="1:17" s="49" customFormat="1" ht="48" thickBot="1" x14ac:dyDescent="0.3">
      <c r="A53" s="103" t="str">
        <f t="shared" si="12"/>
        <v>7g</v>
      </c>
      <c r="B53" s="225"/>
      <c r="C53" s="253"/>
      <c r="D53" s="222"/>
      <c r="E53" s="86" t="s">
        <v>48</v>
      </c>
      <c r="F53" s="87" t="s">
        <v>102</v>
      </c>
      <c r="G53" s="118" t="s">
        <v>76</v>
      </c>
      <c r="H53" s="119"/>
      <c r="I53" s="109" t="str">
        <f t="shared" si="2"/>
        <v>Oportunidad de mejora</v>
      </c>
      <c r="J53" s="105">
        <f t="shared" si="13"/>
        <v>100</v>
      </c>
      <c r="K53" s="105">
        <v>0.85123400000000005</v>
      </c>
      <c r="L53" s="105">
        <f t="shared" si="3"/>
        <v>100.85123400000001</v>
      </c>
    </row>
    <row r="54" spans="1:17" s="49" customFormat="1" ht="102.75" customHeight="1" thickBot="1" x14ac:dyDescent="0.3">
      <c r="A54" s="103" t="str">
        <f>8&amp;E54</f>
        <v>8h</v>
      </c>
      <c r="B54" s="162" t="s">
        <v>103</v>
      </c>
      <c r="C54" s="163" t="s">
        <v>97</v>
      </c>
      <c r="D54" s="76" t="s">
        <v>104</v>
      </c>
      <c r="E54" s="81" t="s">
        <v>50</v>
      </c>
      <c r="F54" s="82" t="s">
        <v>105</v>
      </c>
      <c r="G54" s="112" t="s">
        <v>39</v>
      </c>
      <c r="H54" s="113"/>
      <c r="I54" s="104" t="str">
        <f t="shared" si="2"/>
        <v>Mantenimiento del control</v>
      </c>
      <c r="J54" s="105">
        <f t="shared" si="13"/>
        <v>120</v>
      </c>
      <c r="K54" s="105">
        <v>0.85123450000000001</v>
      </c>
      <c r="L54" s="105">
        <f t="shared" si="3"/>
        <v>120.8512345</v>
      </c>
    </row>
    <row r="55" spans="1:17" s="49" customFormat="1" ht="54.75" customHeight="1" x14ac:dyDescent="0.25">
      <c r="A55" s="103" t="str">
        <f>9&amp;E55</f>
        <v>9a</v>
      </c>
      <c r="B55" s="223" t="s">
        <v>106</v>
      </c>
      <c r="C55" s="251" t="s">
        <v>97</v>
      </c>
      <c r="D55" s="220" t="s">
        <v>107</v>
      </c>
      <c r="E55" s="81" t="s">
        <v>34</v>
      </c>
      <c r="F55" s="82" t="s">
        <v>108</v>
      </c>
      <c r="G55" s="112" t="s">
        <v>76</v>
      </c>
      <c r="H55" s="113"/>
      <c r="I55" s="104" t="str">
        <f t="shared" si="2"/>
        <v>Oportunidad de mejora</v>
      </c>
      <c r="J55" s="105">
        <f t="shared" si="13"/>
        <v>100</v>
      </c>
      <c r="K55" s="110">
        <v>0.85123455999999997</v>
      </c>
      <c r="L55" s="105">
        <f t="shared" si="3"/>
        <v>100.85123455999999</v>
      </c>
      <c r="M55" s="48"/>
      <c r="N55" s="48"/>
      <c r="O55" s="48"/>
      <c r="P55" s="48"/>
      <c r="Q55" s="48"/>
    </row>
    <row r="56" spans="1:17" s="49" customFormat="1" ht="55.5" customHeight="1" x14ac:dyDescent="0.25">
      <c r="A56" s="103" t="str">
        <f t="shared" ref="A56:A59" si="14">9&amp;E56</f>
        <v>9b</v>
      </c>
      <c r="B56" s="224"/>
      <c r="C56" s="252"/>
      <c r="D56" s="221"/>
      <c r="E56" s="83" t="s">
        <v>37</v>
      </c>
      <c r="F56" s="85" t="s">
        <v>109</v>
      </c>
      <c r="G56" s="116" t="s">
        <v>76</v>
      </c>
      <c r="H56" s="117"/>
      <c r="I56" s="108" t="str">
        <f t="shared" si="2"/>
        <v>Oportunidad de mejora</v>
      </c>
      <c r="J56" s="105">
        <f t="shared" si="13"/>
        <v>100</v>
      </c>
      <c r="K56" s="110">
        <v>0.851234567</v>
      </c>
      <c r="L56" s="105">
        <f t="shared" si="3"/>
        <v>100.85123456700001</v>
      </c>
      <c r="M56" s="48"/>
      <c r="N56" s="48"/>
      <c r="O56" s="48"/>
      <c r="P56" s="48"/>
      <c r="Q56" s="48"/>
    </row>
    <row r="57" spans="1:17" s="49" customFormat="1" ht="77.25" customHeight="1" x14ac:dyDescent="0.25">
      <c r="A57" s="103" t="str">
        <f t="shared" si="14"/>
        <v>9c</v>
      </c>
      <c r="B57" s="224"/>
      <c r="C57" s="252"/>
      <c r="D57" s="221"/>
      <c r="E57" s="83" t="s">
        <v>40</v>
      </c>
      <c r="F57" s="85" t="s">
        <v>110</v>
      </c>
      <c r="G57" s="116" t="s">
        <v>76</v>
      </c>
      <c r="H57" s="117"/>
      <c r="I57" s="108" t="str">
        <f t="shared" si="2"/>
        <v>Oportunidad de mejora</v>
      </c>
      <c r="J57" s="105">
        <f t="shared" si="13"/>
        <v>100</v>
      </c>
      <c r="K57" s="110">
        <v>0.85123456779999995</v>
      </c>
      <c r="L57" s="105">
        <f t="shared" si="3"/>
        <v>100.85123456780001</v>
      </c>
      <c r="M57" s="48"/>
      <c r="N57" s="48"/>
      <c r="O57" s="48"/>
      <c r="P57" s="48"/>
      <c r="Q57" s="48"/>
    </row>
    <row r="58" spans="1:17" s="49" customFormat="1" ht="77.25" customHeight="1" x14ac:dyDescent="0.25">
      <c r="A58" s="103" t="str">
        <f t="shared" si="14"/>
        <v>9d</v>
      </c>
      <c r="B58" s="224"/>
      <c r="C58" s="252"/>
      <c r="D58" s="221"/>
      <c r="E58" s="83" t="s">
        <v>42</v>
      </c>
      <c r="F58" s="85" t="s">
        <v>111</v>
      </c>
      <c r="G58" s="116" t="s">
        <v>76</v>
      </c>
      <c r="H58" s="117"/>
      <c r="I58" s="108" t="str">
        <f t="shared" si="2"/>
        <v>Oportunidad de mejora</v>
      </c>
      <c r="J58" s="105">
        <f t="shared" si="13"/>
        <v>100</v>
      </c>
      <c r="K58" s="110">
        <v>0.85123456788999996</v>
      </c>
      <c r="L58" s="105">
        <f t="shared" si="3"/>
        <v>100.85123456789</v>
      </c>
      <c r="M58" s="48"/>
      <c r="N58" s="48"/>
      <c r="O58" s="48"/>
      <c r="P58" s="48"/>
      <c r="Q58" s="48"/>
    </row>
    <row r="59" spans="1:17" s="49" customFormat="1" ht="77.25" customHeight="1" thickBot="1" x14ac:dyDescent="0.3">
      <c r="A59" s="103" t="str">
        <f t="shared" si="14"/>
        <v>9e</v>
      </c>
      <c r="B59" s="225"/>
      <c r="C59" s="252"/>
      <c r="D59" s="238"/>
      <c r="E59" s="86" t="s">
        <v>44</v>
      </c>
      <c r="F59" s="87" t="s">
        <v>112</v>
      </c>
      <c r="G59" s="118" t="s">
        <v>76</v>
      </c>
      <c r="H59" s="119"/>
      <c r="I59" s="109" t="str">
        <f t="shared" si="2"/>
        <v>Oportunidad de mejora</v>
      </c>
      <c r="J59" s="105">
        <f t="shared" si="13"/>
        <v>100</v>
      </c>
      <c r="K59" s="110">
        <v>0.85123456789100005</v>
      </c>
      <c r="L59" s="105">
        <f t="shared" si="3"/>
        <v>100.851234567891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A54" zoomScale="80" zoomScaleNormal="80" workbookViewId="0">
      <selection activeCell="F36" sqref="F36"/>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63" t="s">
        <v>113</v>
      </c>
      <c r="D7" s="264"/>
      <c r="E7" s="264"/>
      <c r="F7" s="264"/>
      <c r="G7" s="264"/>
      <c r="H7" s="264"/>
      <c r="I7" s="264"/>
      <c r="J7" s="264"/>
      <c r="K7" s="265"/>
    </row>
    <row r="8" spans="1:11" s="1" customFormat="1" ht="15.75" thickBot="1" x14ac:dyDescent="0.3">
      <c r="C8" s="39"/>
      <c r="D8" s="39"/>
      <c r="E8" s="40"/>
      <c r="F8" s="40"/>
      <c r="G8" s="40"/>
      <c r="H8" s="40"/>
      <c r="I8" s="50"/>
      <c r="J8" s="40"/>
      <c r="K8" s="40"/>
    </row>
    <row r="9" spans="1:11" ht="21" thickBot="1" x14ac:dyDescent="0.3">
      <c r="A9" s="1"/>
      <c r="B9" s="1"/>
      <c r="C9" s="172" t="s">
        <v>15</v>
      </c>
      <c r="D9" s="173"/>
      <c r="E9" s="173" t="s">
        <v>16</v>
      </c>
      <c r="F9" s="184"/>
      <c r="G9" s="40"/>
      <c r="H9" s="40"/>
      <c r="I9" s="50"/>
      <c r="J9" s="40"/>
      <c r="K9" s="40"/>
    </row>
    <row r="10" spans="1:11" ht="54" customHeight="1" x14ac:dyDescent="0.25">
      <c r="A10" s="1"/>
      <c r="B10" s="1"/>
      <c r="C10" s="185" t="s">
        <v>17</v>
      </c>
      <c r="D10" s="186"/>
      <c r="E10" s="187" t="s">
        <v>18</v>
      </c>
      <c r="F10" s="188"/>
      <c r="G10" s="41"/>
      <c r="H10" s="42">
        <v>1</v>
      </c>
      <c r="I10" s="50"/>
      <c r="J10" s="40"/>
      <c r="K10" s="40"/>
    </row>
    <row r="11" spans="1:11" ht="46.5" customHeight="1" x14ac:dyDescent="0.25">
      <c r="A11" s="1"/>
      <c r="B11" s="1"/>
      <c r="C11" s="174" t="s">
        <v>19</v>
      </c>
      <c r="D11" s="175"/>
      <c r="E11" s="176" t="s">
        <v>114</v>
      </c>
      <c r="F11" s="177"/>
      <c r="G11" s="43" t="s">
        <v>115</v>
      </c>
      <c r="H11" s="42">
        <v>0.75</v>
      </c>
      <c r="I11" s="50"/>
      <c r="J11" s="40"/>
      <c r="K11" s="40"/>
    </row>
    <row r="12" spans="1:11" ht="70.5" customHeight="1" thickBot="1" x14ac:dyDescent="0.3">
      <c r="A12" s="1"/>
      <c r="B12" s="1"/>
      <c r="C12" s="178" t="s">
        <v>21</v>
      </c>
      <c r="D12" s="179"/>
      <c r="E12" s="180" t="s">
        <v>116</v>
      </c>
      <c r="F12" s="181"/>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1" t="s">
        <v>117</v>
      </c>
      <c r="D17" s="273" t="s">
        <v>118</v>
      </c>
      <c r="E17" s="274"/>
      <c r="F17" s="275" t="s">
        <v>119</v>
      </c>
      <c r="G17" s="277" t="s">
        <v>120</v>
      </c>
      <c r="H17" s="38"/>
      <c r="I17" s="266" t="s">
        <v>121</v>
      </c>
      <c r="J17" s="266" t="s">
        <v>122</v>
      </c>
    </row>
    <row r="18" spans="1:10" ht="36" customHeight="1" thickBot="1" x14ac:dyDescent="0.3">
      <c r="A18" s="1"/>
      <c r="B18" s="1"/>
      <c r="C18" s="272"/>
      <c r="D18" s="122" t="s">
        <v>123</v>
      </c>
      <c r="E18" s="123" t="s">
        <v>27</v>
      </c>
      <c r="F18" s="276"/>
      <c r="G18" s="278"/>
      <c r="H18" s="38"/>
      <c r="I18" s="267"/>
      <c r="J18" s="267"/>
    </row>
    <row r="19" spans="1:10" ht="65.25" customHeight="1" x14ac:dyDescent="0.25">
      <c r="A19" s="1"/>
      <c r="B19" s="1"/>
      <c r="C19" s="141">
        <v>1</v>
      </c>
      <c r="D19" s="268" t="s">
        <v>32</v>
      </c>
      <c r="E19" s="124" t="str">
        <f>+IFERROR(INDEX(Hoja1!$E$2:$E$45,MATCH('Análisis Resultados'!C19,Hoja1!$H$2:$H$45,0)),"")</f>
        <v>Documento interno o adopción del MECI actualizado</v>
      </c>
      <c r="F19" s="125" t="str">
        <f>+IFERROR(VLOOKUP(C19,Hoja1!$H$2:$I$45,2,0),"")</f>
        <v>En proceso</v>
      </c>
      <c r="G19" s="126"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19" s="18"/>
      <c r="I19" s="142">
        <f>+IF(F19="Si",1,IF(F19="En proceso",0.5,0))</f>
        <v>0.5</v>
      </c>
      <c r="J19" s="281">
        <f>+AVERAGE(I19:I30)</f>
        <v>0.95833333333333337</v>
      </c>
    </row>
    <row r="20" spans="1:10" ht="57" x14ac:dyDescent="0.25">
      <c r="A20" s="1"/>
      <c r="B20" s="1"/>
      <c r="C20" s="141">
        <v>2</v>
      </c>
      <c r="D20" s="269"/>
      <c r="E20" s="127" t="str">
        <f>+IFERROR(INDEX(Hoja1!$E$2:$E$45,MATCH('Análisis Resultados'!C20,Hoja1!$H$2:$H$45,0)),"")</f>
        <v>Un documento tal como un código de ética, integridad u otro que formalice los estándares de conducta, los principios institucionales o los valores del servicio público</v>
      </c>
      <c r="F20" s="128" t="str">
        <f>+IFERROR(VLOOKUP(C20,Hoja1!$H$2:$I$45,2,0),"")</f>
        <v>Si</v>
      </c>
      <c r="G20" s="129"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43">
        <f t="shared" ref="I20:I62" si="1">+IF(F20="Si",1,IF(F20="En proceso",0.5,0))</f>
        <v>1</v>
      </c>
      <c r="J20" s="282"/>
    </row>
    <row r="21" spans="1:10" ht="45" x14ac:dyDescent="0.25">
      <c r="A21" s="1"/>
      <c r="B21" s="1"/>
      <c r="C21" s="141">
        <v>3</v>
      </c>
      <c r="D21" s="269"/>
      <c r="E21" s="127" t="str">
        <f>+IFERROR(INDEX(Hoja1!$E$2:$E$45,MATCH('Análisis Resultados'!C21,Hoja1!$H$2:$H$45,0)),"")</f>
        <v>Planes, programas y proyectos de acuerdo con las normas que rigen y atendiendo con su propósito fundamental institucional (misión)</v>
      </c>
      <c r="F21" s="128" t="str">
        <f>+IFERROR(VLOOKUP(C21,Hoja1!$H$2:$I$45,2,0),"")</f>
        <v>Si</v>
      </c>
      <c r="G21" s="129" t="str">
        <f t="shared" si="0"/>
        <v>Existe requerimiento pero se requiere actividades  dirigidas a su mantenimiento dentro del marco de las lineas de defensa.</v>
      </c>
      <c r="H21" s="18"/>
      <c r="I21" s="143">
        <f t="shared" si="1"/>
        <v>1</v>
      </c>
      <c r="J21" s="282"/>
    </row>
    <row r="22" spans="1:10" ht="56.25" customHeight="1" x14ac:dyDescent="0.25">
      <c r="A22" s="1"/>
      <c r="B22" s="1"/>
      <c r="C22" s="141">
        <v>4</v>
      </c>
      <c r="D22" s="269"/>
      <c r="E22" s="127" t="str">
        <f>+IFERROR(INDEX(Hoja1!$E$2:$E$45,MATCH('Análisis Resultados'!C22,Hoja1!$H$2:$H$45,0)),"")</f>
        <v>Una estructura organizacional formalizada (organigrama)</v>
      </c>
      <c r="F22" s="128" t="str">
        <f>+IFERROR(VLOOKUP(C22,Hoja1!$H$2:$I$45,2,0),"")</f>
        <v>Si</v>
      </c>
      <c r="G22" s="129" t="str">
        <f t="shared" si="0"/>
        <v>Existe requerimiento pero se requiere actividades  dirigidas a su mantenimiento dentro del marco de las lineas de defensa.</v>
      </c>
      <c r="H22" s="18"/>
      <c r="I22" s="143">
        <f t="shared" si="1"/>
        <v>1</v>
      </c>
      <c r="J22" s="282"/>
    </row>
    <row r="23" spans="1:10" ht="45" x14ac:dyDescent="0.25">
      <c r="A23" s="1"/>
      <c r="B23" s="1"/>
      <c r="C23" s="141">
        <v>5</v>
      </c>
      <c r="D23" s="269"/>
      <c r="E23" s="127" t="str">
        <f>+IFERROR(INDEX(Hoja1!$E$2:$E$45,MATCH('Análisis Resultados'!C23,Hoja1!$H$2:$H$45,0)),"")</f>
        <v>Un manual de funciones que describa los empleos de la entidad</v>
      </c>
      <c r="F23" s="128" t="str">
        <f>+IFERROR(VLOOKUP(C23,Hoja1!$H$2:$I$45,2,0),"")</f>
        <v>Si</v>
      </c>
      <c r="G23" s="129" t="str">
        <f t="shared" si="0"/>
        <v>Existe requerimiento pero se requiere actividades  dirigidas a su mantenimiento dentro del marco de las lineas de defensa.</v>
      </c>
      <c r="H23" s="18"/>
      <c r="I23" s="143">
        <f t="shared" si="1"/>
        <v>1</v>
      </c>
      <c r="J23" s="282"/>
    </row>
    <row r="24" spans="1:10" ht="45" x14ac:dyDescent="0.25">
      <c r="A24" s="1"/>
      <c r="B24" s="1"/>
      <c r="C24" s="141">
        <v>6</v>
      </c>
      <c r="D24" s="269"/>
      <c r="E24" s="127" t="str">
        <f>+IFERROR(INDEX(Hoja1!$E$2:$E$45,MATCH('Análisis Resultados'!C24,Hoja1!$H$2:$H$45,0)),"")</f>
        <v>La documentación de sus procesos y procedimientos o bien una lista de actividades principales que permitan conocer el estado de su gestión</v>
      </c>
      <c r="F24" s="128" t="str">
        <f>+IFERROR(VLOOKUP(C24,Hoja1!$H$2:$I$45,2,0),"")</f>
        <v>Si</v>
      </c>
      <c r="G24" s="129" t="str">
        <f t="shared" si="0"/>
        <v>Existe requerimiento pero se requiere actividades  dirigidas a su mantenimiento dentro del marco de las lineas de defensa.</v>
      </c>
      <c r="H24" s="18"/>
      <c r="I24" s="143">
        <f t="shared" si="1"/>
        <v>1</v>
      </c>
      <c r="J24" s="282"/>
    </row>
    <row r="25" spans="1:10" ht="45" x14ac:dyDescent="0.25">
      <c r="A25" s="1"/>
      <c r="B25" s="1"/>
      <c r="C25" s="141">
        <v>7</v>
      </c>
      <c r="D25" s="269"/>
      <c r="E25" s="127" t="str">
        <f>+IFERROR(INDEX(Hoja1!$E$2:$E$45,MATCH('Análisis Resultados'!C25,Hoja1!$H$2:$H$45,0)),"")</f>
        <v>Vinculación de los servidores públicos de acuerdo con el marco normativo que les rige (carrera administrativa, libre nombramiento y remoción, entre otros)</v>
      </c>
      <c r="F25" s="128" t="str">
        <f>+IFERROR(VLOOKUP(C25,Hoja1!$H$2:$I$45,2,0),"")</f>
        <v>Si</v>
      </c>
      <c r="G25" s="129" t="str">
        <f t="shared" si="0"/>
        <v>Existe requerimiento pero se requiere actividades  dirigidas a su mantenimiento dentro del marco de las lineas de defensa.</v>
      </c>
      <c r="H25" s="18"/>
      <c r="I25" s="143">
        <f t="shared" si="1"/>
        <v>1</v>
      </c>
      <c r="J25" s="282"/>
    </row>
    <row r="26" spans="1:10" ht="45" x14ac:dyDescent="0.25">
      <c r="A26" s="1"/>
      <c r="B26" s="1"/>
      <c r="C26" s="141">
        <v>8</v>
      </c>
      <c r="D26" s="269"/>
      <c r="E26" s="127" t="str">
        <f>+IFERROR(INDEX(Hoja1!$E$2:$E$45,MATCH('Análisis Resultados'!C26,Hoja1!$H$2:$H$45,0)),"")</f>
        <v>Procesos de inducción, capacitación y bienestar social para sus servidores públicos, de manera directa o en asociación con otras entidades municipales</v>
      </c>
      <c r="F26" s="128" t="str">
        <f>+IFERROR(VLOOKUP(C26,Hoja1!$H$2:$I$45,2,0),"")</f>
        <v>Si</v>
      </c>
      <c r="G26" s="129" t="str">
        <f t="shared" si="0"/>
        <v>Existe requerimiento pero se requiere actividades  dirigidas a su mantenimiento dentro del marco de las lineas de defensa.</v>
      </c>
      <c r="H26" s="18"/>
      <c r="I26" s="143">
        <f t="shared" si="1"/>
        <v>1</v>
      </c>
      <c r="J26" s="282"/>
    </row>
    <row r="27" spans="1:10" ht="45" x14ac:dyDescent="0.25">
      <c r="A27" s="1"/>
      <c r="B27" s="1"/>
      <c r="C27" s="141">
        <v>9</v>
      </c>
      <c r="D27" s="269"/>
      <c r="E27" s="127" t="str">
        <f>+IFERROR(INDEX(Hoja1!$E$2:$E$45,MATCH('Análisis Resultados'!C27,Hoja1!$H$2:$H$45,0)),"")</f>
        <v>Evaluación a los servidores públicos de acuerdo con el marco normativo que le rige</v>
      </c>
      <c r="F27" s="128" t="str">
        <f>+IFERROR(VLOOKUP(C27,Hoja1!$H$2:$I$45,2,0),"")</f>
        <v>Si</v>
      </c>
      <c r="G27" s="129" t="str">
        <f t="shared" si="0"/>
        <v>Existe requerimiento pero se requiere actividades  dirigidas a su mantenimiento dentro del marco de las lineas de defensa.</v>
      </c>
      <c r="H27" s="18"/>
      <c r="I27" s="143">
        <f t="shared" si="1"/>
        <v>1</v>
      </c>
      <c r="J27" s="282"/>
    </row>
    <row r="28" spans="1:10" ht="45" x14ac:dyDescent="0.25">
      <c r="A28" s="1"/>
      <c r="B28" s="1"/>
      <c r="C28" s="141">
        <v>10</v>
      </c>
      <c r="D28" s="269"/>
      <c r="E28" s="127" t="str">
        <f>+IFERROR(INDEX(Hoja1!$E$2:$E$45,MATCH('Análisis Resultados'!C28,Hoja1!$H$2:$H$45,0)),"")</f>
        <v>Procesos de desvinculación de servidores de acuerdo con lo previsto en la Constitución Política y las leyes</v>
      </c>
      <c r="F28" s="128" t="str">
        <f>+IFERROR(VLOOKUP(C28,Hoja1!$H$2:$I$45,2,0),"")</f>
        <v>Si</v>
      </c>
      <c r="G28" s="129" t="str">
        <f t="shared" si="0"/>
        <v>Existe requerimiento pero se requiere actividades  dirigidas a su mantenimiento dentro del marco de las lineas de defensa.</v>
      </c>
      <c r="H28" s="18"/>
      <c r="I28" s="143">
        <f t="shared" si="1"/>
        <v>1</v>
      </c>
      <c r="J28" s="282"/>
    </row>
    <row r="29" spans="1:10" ht="45" x14ac:dyDescent="0.25">
      <c r="A29" s="1"/>
      <c r="B29" s="1"/>
      <c r="C29" s="141">
        <v>11</v>
      </c>
      <c r="D29" s="269"/>
      <c r="E29" s="127" t="str">
        <f>+IFERROR(INDEX(Hoja1!$E$2:$E$45,MATCH('Análisis Resultados'!C29,Hoja1!$H$2:$H$45,0)),"")</f>
        <v>Mecanismos de rendición de cuentas a la ciudadanía</v>
      </c>
      <c r="F29" s="128" t="str">
        <f>+IFERROR(VLOOKUP(C29,Hoja1!$H$2:$I$45,2,0),"")</f>
        <v>Si</v>
      </c>
      <c r="G29" s="129"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43">
        <f t="shared" si="1"/>
        <v>1</v>
      </c>
      <c r="J29" s="282"/>
    </row>
    <row r="30" spans="1:10" ht="45.75" thickBot="1" x14ac:dyDescent="0.3">
      <c r="A30" s="1"/>
      <c r="B30" s="1"/>
      <c r="C30" s="141">
        <v>12</v>
      </c>
      <c r="D30" s="270"/>
      <c r="E30" s="130" t="str">
        <f>+IFERROR(INDEX(Hoja1!$E$2:$E$45,MATCH('Análisis Resultados'!C30,Hoja1!$H$2:$H$45,0)),"")</f>
        <v>Presentación oportuna de sus informes de gestión a las autoridades competentes</v>
      </c>
      <c r="F30" s="131" t="str">
        <f>+IFERROR(VLOOKUP(C30,Hoja1!$H$2:$I$45,2,0),"")</f>
        <v>Si</v>
      </c>
      <c r="G30" s="132" t="str">
        <f t="shared" si="0"/>
        <v>Existe requerimiento pero se requiere actividades  dirigidas a su mantenimiento dentro del marco de las lineas de defensa.</v>
      </c>
      <c r="H30" s="18"/>
      <c r="I30" s="144">
        <f t="shared" si="1"/>
        <v>1</v>
      </c>
      <c r="J30" s="283"/>
    </row>
    <row r="31" spans="1:10" ht="45" customHeight="1" x14ac:dyDescent="0.25">
      <c r="A31" s="1"/>
      <c r="B31" s="1"/>
      <c r="C31" s="141">
        <v>13</v>
      </c>
      <c r="D31" s="295" t="s">
        <v>61</v>
      </c>
      <c r="E31" s="124" t="str">
        <f>+IFERROR(INDEX(Hoja1!$E$2:$E$45,MATCH('Análisis Resultados'!C31,Hoja1!$H$2:$H$45,0)),"")</f>
        <v>Cada líder del equipo autónomamente toma las acciones para solucionarlos.</v>
      </c>
      <c r="F31" s="125" t="str">
        <f>+IFERROR(VLOOKUP(C31,Hoja1!$H$2:$I$45,2,0),"")</f>
        <v>En proceso</v>
      </c>
      <c r="G31" s="126" t="str">
        <f t="shared" si="0"/>
        <v>Se encuentra en proceso, pero requiere continuar con acciones dirigidas a contar con dicho aspecto de control.</v>
      </c>
      <c r="H31" s="18"/>
      <c r="I31" s="142">
        <f t="shared" si="1"/>
        <v>0.5</v>
      </c>
      <c r="J31" s="279">
        <f>+AVERAGE(I31:I40)</f>
        <v>0.95</v>
      </c>
    </row>
    <row r="32" spans="1:10" ht="57" customHeight="1" x14ac:dyDescent="0.25">
      <c r="A32" s="1"/>
      <c r="B32" s="1"/>
      <c r="C32" s="141">
        <v>14</v>
      </c>
      <c r="D32" s="296"/>
      <c r="E32" s="127" t="str">
        <f>+IFERROR(INDEX(Hoja1!$E$2:$E$45,MATCH('Análisis Resultados'!C32,Hoja1!$H$2:$H$45,0)),"")</f>
        <v>La identificación de cambios en su entorno que pueden generar consecuencias negativas en su gestión</v>
      </c>
      <c r="F32" s="128" t="str">
        <f>+IFERROR(VLOOKUP(C32,Hoja1!$H$2:$I$45,2,0),"")</f>
        <v>Si</v>
      </c>
      <c r="G32" s="129" t="str">
        <f t="shared" si="0"/>
        <v>Existe requerimiento pero se requiere actividades  dirigidas a su mantenimiento dentro del marco de las lineas de defensa.</v>
      </c>
      <c r="H32" s="18"/>
      <c r="I32" s="143">
        <f t="shared" si="1"/>
        <v>1</v>
      </c>
      <c r="J32" s="280"/>
    </row>
    <row r="33" spans="1:10" ht="54" customHeight="1" x14ac:dyDescent="0.25">
      <c r="A33" s="1"/>
      <c r="B33" s="1"/>
      <c r="C33" s="141">
        <v>15</v>
      </c>
      <c r="D33" s="296"/>
      <c r="E33" s="127" t="str">
        <f>+IFERROR(INDEX(Hoja1!$E$2:$E$45,MATCH('Análisis Resultados'!C33,Hoja1!$H$2:$H$45,0)),"")</f>
        <v>La identificación de aquellos problemas o aspectos que pueden afectar el cumplimiento de los planes de la entidad y en general su gestión institucional (riesgos)</v>
      </c>
      <c r="F33" s="128" t="str">
        <f>+IFERROR(VLOOKUP(C33,Hoja1!$H$2:$I$45,2,0),"")</f>
        <v>Si</v>
      </c>
      <c r="G33" s="129" t="str">
        <f t="shared" si="0"/>
        <v>Existe requerimiento pero se requiere actividades  dirigidas a su mantenimiento dentro del marco de las lineas de defensa.</v>
      </c>
      <c r="H33" s="18"/>
      <c r="I33" s="143">
        <f t="shared" si="1"/>
        <v>1</v>
      </c>
      <c r="J33" s="280"/>
    </row>
    <row r="34" spans="1:10" ht="45" x14ac:dyDescent="0.25">
      <c r="A34" s="1"/>
      <c r="B34" s="1"/>
      <c r="C34" s="141">
        <v>16</v>
      </c>
      <c r="D34" s="296"/>
      <c r="E34" s="127" t="str">
        <f>+IFERROR(INDEX(Hoja1!$E$2:$E$45,MATCH('Análisis Resultados'!C34,Hoja1!$H$2:$H$45,0)),"")</f>
        <v>La identificación  de los riesgos relacionados con posibles actos de corrupción en el ejercicio de sus funciones</v>
      </c>
      <c r="F34" s="128" t="str">
        <f>+IFERROR(VLOOKUP(C34,Hoja1!$H$2:$I$45,2,0),"")</f>
        <v>Si</v>
      </c>
      <c r="G34" s="129" t="str">
        <f t="shared" si="0"/>
        <v>Existe requerimiento pero se requiere actividades  dirigidas a su mantenimiento dentro del marco de las lineas de defensa.</v>
      </c>
      <c r="H34" s="18"/>
      <c r="I34" s="143">
        <f t="shared" si="1"/>
        <v>1</v>
      </c>
      <c r="J34" s="280"/>
    </row>
    <row r="35" spans="1:10" ht="67.5" customHeight="1" x14ac:dyDescent="0.25">
      <c r="A35" s="1"/>
      <c r="B35" s="1"/>
      <c r="C35" s="141">
        <v>17</v>
      </c>
      <c r="D35" s="296"/>
      <c r="E35" s="127" t="str">
        <f>+IFERROR(INDEX(Hoja1!$E$2:$E$45,MATCH('Análisis Resultados'!C35,Hoja1!$H$2:$H$45,0)),"")</f>
        <v>Si su capacidad e infraestructura lo permite, identificación de riesgos asociados a las tecnologías de la información y las comunicaciones</v>
      </c>
      <c r="F35" s="128" t="str">
        <f>+IFERROR(VLOOKUP(C35,Hoja1!$H$2:$I$45,2,0),"")</f>
        <v>Si</v>
      </c>
      <c r="G35" s="129" t="str">
        <f t="shared" si="0"/>
        <v>Existe requerimiento pero se requiere actividades  dirigidas a su mantenimiento dentro del marco de las lineas de defensa.</v>
      </c>
      <c r="H35" s="18"/>
      <c r="I35" s="143">
        <f t="shared" si="1"/>
        <v>1</v>
      </c>
      <c r="J35" s="280"/>
    </row>
    <row r="36" spans="1:10" ht="45" x14ac:dyDescent="0.25">
      <c r="A36" s="1"/>
      <c r="B36" s="1"/>
      <c r="C36" s="141">
        <v>18</v>
      </c>
      <c r="D36" s="296"/>
      <c r="E36" s="127" t="str">
        <f>+IFERROR(INDEX(Hoja1!$E$2:$E$45,MATCH('Análisis Resultados'!C36,Hoja1!$H$2:$H$45,0)),"")</f>
        <v>Hacen seguimiento a los problemas (riesgos)  que pueden afectar el cumplimiento de sus procesos, programas o proyectos a cargo</v>
      </c>
      <c r="F36" s="128" t="str">
        <f>+IFERROR(VLOOKUP(C36,Hoja1!$H$2:$I$45,2,0),"")</f>
        <v>Si</v>
      </c>
      <c r="G36" s="129" t="str">
        <f t="shared" si="0"/>
        <v>Existe requerimiento pero se requiere actividades  dirigidas a su mantenimiento dentro del marco de las lineas de defensa.</v>
      </c>
      <c r="H36" s="18"/>
      <c r="I36" s="143">
        <f t="shared" si="1"/>
        <v>1</v>
      </c>
      <c r="J36" s="280"/>
    </row>
    <row r="37" spans="1:10" ht="57" customHeight="1" x14ac:dyDescent="0.25">
      <c r="A37" s="1"/>
      <c r="B37" s="1"/>
      <c r="C37" s="141">
        <v>19</v>
      </c>
      <c r="D37" s="296"/>
      <c r="E37" s="127" t="str">
        <f>+IFERROR(INDEX(Hoja1!$E$2:$E$45,MATCH('Análisis Resultados'!C37,Hoja1!$H$2:$H$45,0)),"")</f>
        <v>Informan de manera periódica a quien corresponda sobre el desempeño de las actividades de gestión de riesgos</v>
      </c>
      <c r="F37" s="128" t="str">
        <f>+IFERROR(VLOOKUP(C37,Hoja1!$H$2:$I$45,2,0),"")</f>
        <v>Si</v>
      </c>
      <c r="G37" s="129" t="str">
        <f t="shared" si="0"/>
        <v>Existe requerimiento pero se requiere actividades  dirigidas a su mantenimiento dentro del marco de las lineas de defensa.</v>
      </c>
      <c r="H37" s="18"/>
      <c r="I37" s="143">
        <f t="shared" si="1"/>
        <v>1</v>
      </c>
      <c r="J37" s="280"/>
    </row>
    <row r="38" spans="1:10" ht="45" x14ac:dyDescent="0.25">
      <c r="A38" s="1"/>
      <c r="B38" s="1"/>
      <c r="C38" s="141">
        <v>20</v>
      </c>
      <c r="D38" s="296"/>
      <c r="E38" s="127" t="str">
        <f>+IFERROR(INDEX(Hoja1!$E$2:$E$45,MATCH('Análisis Resultados'!C38,Hoja1!$H$2:$H$45,0)),"")</f>
        <v>Identifican deficiencias en las maneras de  controlar los riesgos o problemas en sus procesos, programas o proyectos, y propone los ajustes necesarios</v>
      </c>
      <c r="F38" s="128" t="str">
        <f>+IFERROR(VLOOKUP(C38,Hoja1!$H$2:$I$45,2,0),"")</f>
        <v>Si</v>
      </c>
      <c r="G38" s="129" t="str">
        <f t="shared" si="0"/>
        <v>Existe requerimiento pero se requiere actividades  dirigidas a su mantenimiento dentro del marco de las lineas de defensa.</v>
      </c>
      <c r="H38" s="18"/>
      <c r="I38" s="143">
        <f t="shared" si="1"/>
        <v>1</v>
      </c>
      <c r="J38" s="280"/>
    </row>
    <row r="39" spans="1:10" ht="45" x14ac:dyDescent="0.25">
      <c r="A39" s="1"/>
      <c r="B39" s="1"/>
      <c r="C39" s="141">
        <v>21</v>
      </c>
      <c r="D39" s="296"/>
      <c r="E39" s="127" t="str">
        <f>+IFERROR(INDEX(Hoja1!$E$2:$E$45,MATCH('Análisis Resultados'!C39,Hoja1!$H$2:$H$45,0)),"")</f>
        <v>Se definen espacios de reunión para conocerlos y proponer acciones para su solución</v>
      </c>
      <c r="F39" s="128" t="str">
        <f>+IFERROR(VLOOKUP(C39,Hoja1!$H$2:$I$45,2,0),"")</f>
        <v>Si</v>
      </c>
      <c r="G39" s="129" t="str">
        <f t="shared" si="0"/>
        <v>Existe requerimiento pero se requiere actividades  dirigidas a su mantenimiento dentro del marco de las lineas de defensa.</v>
      </c>
      <c r="H39" s="18"/>
      <c r="I39" s="143">
        <f t="shared" si="1"/>
        <v>1</v>
      </c>
      <c r="J39" s="280"/>
    </row>
    <row r="40" spans="1:10" ht="45.75" thickBot="1" x14ac:dyDescent="0.3">
      <c r="A40" s="1"/>
      <c r="B40" s="1"/>
      <c r="C40" s="141">
        <v>22</v>
      </c>
      <c r="D40" s="296"/>
      <c r="E40" s="133" t="str">
        <f>+IFERROR(INDEX(Hoja1!$E$2:$E$45,MATCH('Análisis Resultados'!C40,Hoja1!$H$2:$H$45,0)),"")</f>
        <v>Solamente hasta que un organismo de control actúa se definen acciones de mejora.</v>
      </c>
      <c r="F40" s="134" t="str">
        <f>+IFERROR(VLOOKUP(C40,Hoja1!$H$2:$I$45,2,0),"")</f>
        <v>Si</v>
      </c>
      <c r="G40" s="135" t="str">
        <f t="shared" si="0"/>
        <v>Existe requerimiento pero se requiere actividades  dirigidas a su mantenimiento dentro del marco de las lineas de defensa.</v>
      </c>
      <c r="H40" s="18"/>
      <c r="I40" s="145">
        <f t="shared" si="1"/>
        <v>1</v>
      </c>
      <c r="J40" s="280"/>
    </row>
    <row r="41" spans="1:10" ht="87.75" customHeight="1" x14ac:dyDescent="0.25">
      <c r="A41" s="1"/>
      <c r="B41" s="1"/>
      <c r="C41" s="141">
        <v>23</v>
      </c>
      <c r="D41" s="291" t="s">
        <v>79</v>
      </c>
      <c r="E41" s="124" t="str">
        <f>+IFERROR(INDEX(Hoja1!$E$2:$E$45,MATCH('Análisis Resultados'!C41,Hoja1!$H$2:$H$45,0)),"")</f>
        <v>Un documento que consolide  los riesgos  y el tratamiento que se les da, incluyendo aquellos que conllevan posibles actos de corrupción y si la capacidad e infraestructura lo permite, los asociados con las tecnologías de la información y las comunicaciones</v>
      </c>
      <c r="F41" s="125" t="str">
        <f>+IFERROR(VLOOKUP(C41,Hoja1!$H$2:$I$45,2,0),"")</f>
        <v>No</v>
      </c>
      <c r="G41" s="126" t="str">
        <f t="shared" si="0"/>
        <v>No se encuentra el aspecto  por lo tanto la entidad debera generar acciones dirigidas a que se cumpla con el requerimiento.</v>
      </c>
      <c r="H41" s="18"/>
      <c r="I41" s="142">
        <f t="shared" si="1"/>
        <v>0</v>
      </c>
      <c r="J41" s="279">
        <f>+AVERAGE(I41:I45)</f>
        <v>0.5</v>
      </c>
    </row>
    <row r="42" spans="1:10" ht="57" x14ac:dyDescent="0.25">
      <c r="A42" s="1"/>
      <c r="B42" s="1"/>
      <c r="C42" s="141">
        <v>24</v>
      </c>
      <c r="D42" s="292"/>
      <c r="E42" s="127" t="str">
        <f>+IFERROR(INDEX(Hoja1!$E$2:$E$45,MATCH('Análisis Resultados'!C42,Hoja1!$H$2:$H$45,0)),"")</f>
        <v>La definición de acciones o actividades para para dar tratamiento a los problemas identificados (mitigación de riesgos), incluyendo aquellos asociados a posibles actos de corrupción</v>
      </c>
      <c r="F42" s="128" t="str">
        <f>+IFERROR(VLOOKUP(C42,Hoja1!$H$2:$I$45,2,0),"")</f>
        <v>En proceso</v>
      </c>
      <c r="G42" s="129" t="str">
        <f t="shared" si="0"/>
        <v>Se encuentra en proceso, pero requiere continuar con acciones dirigidas a contar con dicho aspecto de control.</v>
      </c>
      <c r="H42" s="18"/>
      <c r="I42" s="143">
        <f t="shared" si="1"/>
        <v>0.5</v>
      </c>
      <c r="J42" s="280"/>
    </row>
    <row r="43" spans="1:10" ht="85.5" customHeight="1" x14ac:dyDescent="0.25">
      <c r="A43" s="1"/>
      <c r="B43" s="1"/>
      <c r="C43" s="141">
        <v>25</v>
      </c>
      <c r="D43" s="292"/>
      <c r="E43" s="127" t="str">
        <f>+IFERROR(INDEX(Hoja1!$E$2:$E$45,MATCH('Análisis Resultados'!C43,Hoja1!$H$2:$H$45,0)),"")</f>
        <v>Mecanismos de verificación de si se están o no mitigando los riesgos, o en su defecto, elaboración de planes de contingencia para subsanar sus consecuencias</v>
      </c>
      <c r="F43" s="128" t="str">
        <f>+IFERROR(VLOOKUP(C43,Hoja1!$H$2:$I$45,2,0),"")</f>
        <v>En proceso</v>
      </c>
      <c r="G43" s="129" t="str">
        <f t="shared" si="0"/>
        <v>Se encuentra en proceso, pero requiere continuar con acciones dirigidas a contar con dicho aspecto de control.</v>
      </c>
      <c r="H43" s="18"/>
      <c r="I43" s="143">
        <f t="shared" si="1"/>
        <v>0.5</v>
      </c>
      <c r="J43" s="280"/>
    </row>
    <row r="44" spans="1:10" ht="57" customHeight="1" x14ac:dyDescent="0.25">
      <c r="A44" s="1"/>
      <c r="B44" s="1"/>
      <c r="C44" s="141">
        <v>26</v>
      </c>
      <c r="D44" s="292"/>
      <c r="E44" s="127" t="str">
        <f>+IFERROR(INDEX(Hoja1!$E$2:$E$45,MATCH('Análisis Resultados'!C44,Hoja1!$H$2:$H$45,0)),"")</f>
        <v>Planes, acciones o estrategias que permitan subsanar las consecuencias de la materialización de los riesgos, cuando se presentan</v>
      </c>
      <c r="F44" s="128" t="str">
        <f>+IFERROR(VLOOKUP(C44,Hoja1!$H$2:$I$45,2,0),"")</f>
        <v>En proceso</v>
      </c>
      <c r="G44" s="129" t="str">
        <f t="shared" si="0"/>
        <v>Se encuentra en proceso, pero requiere continuar con acciones dirigidas a contar con dicho aspecto de control.</v>
      </c>
      <c r="H44" s="18"/>
      <c r="I44" s="143">
        <f t="shared" si="1"/>
        <v>0.5</v>
      </c>
      <c r="J44" s="280"/>
    </row>
    <row r="45" spans="1:10" ht="57" customHeight="1" thickBot="1" x14ac:dyDescent="0.3">
      <c r="A45" s="1"/>
      <c r="B45" s="1"/>
      <c r="C45" s="141">
        <v>27</v>
      </c>
      <c r="D45" s="293"/>
      <c r="E45" s="130" t="str">
        <f>+IFERROR(INDEX(Hoja1!$E$2:$E$45,MATCH('Análisis Resultados'!C45,Hoja1!$H$2:$H$45,0)),"")</f>
        <v>Un plan anticorrupción y de servicio al ciudadano con los temas que le aplican, publicado en algún medio para conocimiento de la ciudadanía</v>
      </c>
      <c r="F45" s="131" t="str">
        <f>+IFERROR(VLOOKUP(C45,Hoja1!$H$2:$I$45,2,0),"")</f>
        <v>Si</v>
      </c>
      <c r="G45" s="132" t="str">
        <f t="shared" si="0"/>
        <v>Existe requerimiento pero se requiere actividades  dirigidas a su mantenimiento dentro del marco de las lineas de defensa.</v>
      </c>
      <c r="H45" s="18"/>
      <c r="I45" s="144">
        <f t="shared" si="1"/>
        <v>1</v>
      </c>
      <c r="J45" s="294"/>
    </row>
    <row r="46" spans="1:10" ht="63.75" customHeight="1" x14ac:dyDescent="0.25">
      <c r="A46" s="1"/>
      <c r="B46" s="1"/>
      <c r="C46" s="141">
        <v>28</v>
      </c>
      <c r="D46" s="290" t="s">
        <v>87</v>
      </c>
      <c r="E46" s="136" t="str">
        <f>+IFERROR(INDEX(Hoja1!$E$2:$E$45,MATCH('Análisis Resultados'!C46,Hoja1!$H$2:$H$45,0)),"")</f>
        <v>Identificación de información que produce en el marco de su gestión (Para los ciudadanos, organismos de control, organismos gubernamentales, entre otros)</v>
      </c>
      <c r="F46" s="137" t="str">
        <f>+IFERROR(VLOOKUP(C46,Hoja1!$H$2:$I$45,2,0),"")</f>
        <v>En proceso</v>
      </c>
      <c r="G46" s="138" t="str">
        <f t="shared" si="0"/>
        <v>Se encuentra en proceso, pero requiere continuar con acciones dirigidas a contar con dicho aspecto de control.</v>
      </c>
      <c r="H46" s="18"/>
      <c r="I46" s="146">
        <f t="shared" si="1"/>
        <v>0.5</v>
      </c>
      <c r="J46" s="280">
        <f>+AVERAGE(I46:I52)</f>
        <v>0.8571428571428571</v>
      </c>
    </row>
    <row r="47" spans="1:10" ht="92.25" customHeight="1" x14ac:dyDescent="0.25">
      <c r="A47" s="1"/>
      <c r="B47" s="1"/>
      <c r="C47" s="141">
        <v>29</v>
      </c>
      <c r="D47" s="290"/>
      <c r="E47" s="127" t="str">
        <f>+IFERROR(INDEX(Hoja1!$E$2:$E$45,MATCH('Análisis Resultados'!C47,Hoja1!$H$2:$H$45,0)),"")</f>
        <v>Identificación de información necesaria para la operación de la entidad (normograma, presupuesto, talento humano, infraestructura física y tecnológica)</v>
      </c>
      <c r="F47" s="128" t="str">
        <f>+IFERROR(VLOOKUP(C47,Hoja1!$H$2:$I$45,2,0),"")</f>
        <v>En proceso</v>
      </c>
      <c r="G47" s="139" t="str">
        <f t="shared" si="0"/>
        <v>Se encuentra en proceso, pero requiere continuar con acciones dirigidas a contar con dicho aspecto de control.</v>
      </c>
      <c r="H47" s="18"/>
      <c r="I47" s="147">
        <f t="shared" si="1"/>
        <v>0.5</v>
      </c>
      <c r="J47" s="280"/>
    </row>
    <row r="48" spans="1:10" ht="66.75" customHeight="1" x14ac:dyDescent="0.25">
      <c r="A48" s="1"/>
      <c r="B48" s="1"/>
      <c r="C48" s="141">
        <v>30</v>
      </c>
      <c r="D48" s="290"/>
      <c r="E48" s="127" t="str">
        <f>+IFERROR(INDEX(Hoja1!$E$2:$E$45,MATCH('Análisis Resultados'!C48,Hoja1!$H$2:$H$45,0)),"")</f>
        <v>Responsables de la información institucional</v>
      </c>
      <c r="F48" s="128" t="str">
        <f>+IFERROR(VLOOKUP(C48,Hoja1!$H$2:$I$45,2,0),"")</f>
        <v>Si</v>
      </c>
      <c r="G48" s="139" t="str">
        <f t="shared" si="0"/>
        <v>Existe requerimiento pero se requiere actividades  dirigidas a su mantenimiento dentro del marco de las lineas de defensa.</v>
      </c>
      <c r="H48" s="18"/>
      <c r="I48" s="147">
        <f t="shared" si="1"/>
        <v>1</v>
      </c>
      <c r="J48" s="280"/>
    </row>
    <row r="49" spans="1:10" ht="60" customHeight="1" x14ac:dyDescent="0.25">
      <c r="A49" s="1"/>
      <c r="B49" s="1"/>
      <c r="C49" s="141">
        <v>31</v>
      </c>
      <c r="D49" s="290"/>
      <c r="E49" s="127" t="str">
        <f>+IFERROR(INDEX(Hoja1!$E$2:$E$45,MATCH('Análisis Resultados'!C49,Hoja1!$H$2:$H$45,0)),"")</f>
        <v>Canales de comunicación con los ciudadanos</v>
      </c>
      <c r="F49" s="128" t="str">
        <f>+IFERROR(VLOOKUP(C49,Hoja1!$H$2:$I$45,2,0),"")</f>
        <v>Si</v>
      </c>
      <c r="G49" s="139" t="str">
        <f t="shared" si="0"/>
        <v>Existe requerimiento pero se requiere actividades  dirigidas a su mantenimiento dentro del marco de las lineas de defensa.</v>
      </c>
      <c r="H49" s="18"/>
      <c r="I49" s="147">
        <f t="shared" si="1"/>
        <v>1</v>
      </c>
      <c r="J49" s="280"/>
    </row>
    <row r="50" spans="1:10" ht="57" customHeight="1" x14ac:dyDescent="0.25">
      <c r="A50" s="1"/>
      <c r="B50" s="1"/>
      <c r="C50" s="141">
        <v>32</v>
      </c>
      <c r="D50" s="290"/>
      <c r="E50" s="127" t="str">
        <f>+IFERROR(INDEX(Hoja1!$E$2:$E$45,MATCH('Análisis Resultados'!C50,Hoja1!$H$2:$H$45,0)),"")</f>
        <v>Canales de comunicación o mecanismos de reporte de información a otros organismos gubernamentales o de control</v>
      </c>
      <c r="F50" s="128" t="str">
        <f>+IFERROR(VLOOKUP(C50,Hoja1!$H$2:$I$45,2,0),"")</f>
        <v>Si</v>
      </c>
      <c r="G50" s="139" t="str">
        <f t="shared" si="0"/>
        <v>Existe requerimiento pero se requiere actividades  dirigidas a su mantenimiento dentro del marco de las lineas de defensa.</v>
      </c>
      <c r="H50" s="18"/>
      <c r="I50" s="147">
        <f t="shared" si="1"/>
        <v>1</v>
      </c>
      <c r="J50" s="280"/>
    </row>
    <row r="51" spans="1:10" ht="57" customHeight="1" x14ac:dyDescent="0.25">
      <c r="A51" s="1"/>
      <c r="B51" s="1"/>
      <c r="C51" s="141">
        <v>33</v>
      </c>
      <c r="D51" s="290"/>
      <c r="E51" s="127" t="str">
        <f>+IFERROR(INDEX(Hoja1!$E$2:$E$45,MATCH('Análisis Resultados'!C51,Hoja1!$H$2:$H$45,0)),"")</f>
        <v xml:space="preserve">Lineamientos para dar tratamiento a la información de carácter reservado </v>
      </c>
      <c r="F51" s="128" t="str">
        <f>+IFERROR(VLOOKUP(C51,Hoja1!$H$2:$I$45,2,0),"")</f>
        <v>Si</v>
      </c>
      <c r="G51" s="139" t="str">
        <f t="shared" si="0"/>
        <v>Existe requerimiento pero se requiere actividades  dirigidas a su mantenimiento dentro del marco de las lineas de defensa.</v>
      </c>
      <c r="H51" s="18"/>
      <c r="I51" s="147">
        <f t="shared" si="1"/>
        <v>1</v>
      </c>
      <c r="J51" s="280"/>
    </row>
    <row r="52" spans="1:10" ht="45.75" thickBot="1" x14ac:dyDescent="0.3">
      <c r="A52" s="1"/>
      <c r="B52" s="1"/>
      <c r="C52" s="141">
        <v>34</v>
      </c>
      <c r="D52" s="290"/>
      <c r="E52" s="133" t="str">
        <f>+IFERROR(INDEX(Hoja1!$E$2:$E$45,MATCH('Análisis Resultados'!C52,Hoja1!$H$2:$H$45,0)),"")</f>
        <v>Si su capacidad e infraestructura lo permite, tecnologías de la información y las comunicaciones que soporten estos procesos</v>
      </c>
      <c r="F52" s="134" t="str">
        <f>+IFERROR(VLOOKUP(C52,Hoja1!$H$2:$I$45,2,0),"")</f>
        <v>Si</v>
      </c>
      <c r="G52" s="140" t="str">
        <f t="shared" si="0"/>
        <v>Existe requerimiento pero se requiere actividades  dirigidas a su mantenimiento dentro del marco de las lineas de defensa.</v>
      </c>
      <c r="H52" s="18"/>
      <c r="I52" s="148">
        <f t="shared" si="1"/>
        <v>1</v>
      </c>
      <c r="J52" s="280"/>
    </row>
    <row r="53" spans="1:10" ht="41.25" customHeight="1" x14ac:dyDescent="0.25">
      <c r="A53" s="1"/>
      <c r="B53" s="1"/>
      <c r="C53" s="141">
        <v>35</v>
      </c>
      <c r="D53" s="284" t="s">
        <v>97</v>
      </c>
      <c r="E53" s="124" t="str">
        <f>+IFERROR(INDEX(Hoja1!$E$2:$E$45,MATCH('Análisis Resultados'!C53,Hoja1!$H$2:$H$45,0)),"")</f>
        <v>Mecanismos de evaluación de la gestión (cronogramas, indicadores, listas de chequeo u otros)</v>
      </c>
      <c r="F53" s="125" t="str">
        <f>+IFERROR(VLOOKUP(C53,Hoja1!$H$2:$I$45,2,0),"")</f>
        <v>En proceso</v>
      </c>
      <c r="G53" s="126" t="str">
        <f t="shared" si="0"/>
        <v>Se encuentra en proceso, pero requiere continuar con acciones dirigidas a contar con dicho aspecto de control.</v>
      </c>
      <c r="H53" s="18"/>
      <c r="I53" s="142">
        <f t="shared" si="1"/>
        <v>0.5</v>
      </c>
      <c r="J53" s="287">
        <f>+AVERAGE(I53:I62)</f>
        <v>0.6</v>
      </c>
    </row>
    <row r="54" spans="1:10" ht="58.5" customHeight="1" x14ac:dyDescent="0.25">
      <c r="A54" s="1"/>
      <c r="B54" s="1"/>
      <c r="C54" s="141">
        <v>36</v>
      </c>
      <c r="D54" s="285"/>
      <c r="E54" s="127"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28" t="str">
        <f>+IFERROR(VLOOKUP(C54,Hoja1!$H$2:$I$45,2,0),"")</f>
        <v>En proceso</v>
      </c>
      <c r="G54" s="129" t="str">
        <f t="shared" si="0"/>
        <v>Se encuentra en proceso, pero requiere continuar con acciones dirigidas a contar con dicho aspecto de control.</v>
      </c>
      <c r="H54" s="18"/>
      <c r="I54" s="143">
        <f t="shared" si="1"/>
        <v>0.5</v>
      </c>
      <c r="J54" s="288"/>
    </row>
    <row r="55" spans="1:10" s="1" customFormat="1" ht="84.75" customHeight="1" x14ac:dyDescent="0.25">
      <c r="C55" s="141">
        <v>37</v>
      </c>
      <c r="D55" s="285"/>
      <c r="E55" s="127" t="str">
        <f>+IFERROR(INDEX(Hoja1!$E$2:$E$45,MATCH('Análisis Resultados'!C55,Hoja1!$H$2:$H$45,0)),"")</f>
        <v>Seguimiento a los planes de mejoramiento suscritos con instancias de control internas o externas</v>
      </c>
      <c r="F55" s="128" t="str">
        <f>+IFERROR(VLOOKUP(C55,Hoja1!$H$2:$I$45,2,0),"")</f>
        <v>En proceso</v>
      </c>
      <c r="G55" s="129" t="str">
        <f t="shared" si="0"/>
        <v>Se encuentra en proceso, pero requiere continuar con acciones dirigidas a contar con dicho aspecto de control.</v>
      </c>
      <c r="H55" s="6"/>
      <c r="I55" s="143">
        <f t="shared" si="1"/>
        <v>0.5</v>
      </c>
      <c r="J55" s="288"/>
    </row>
    <row r="56" spans="1:10" s="1" customFormat="1" ht="78.75" customHeight="1" x14ac:dyDescent="0.25">
      <c r="C56" s="141">
        <v>38</v>
      </c>
      <c r="D56" s="285"/>
      <c r="E56" s="127" t="str">
        <f>+IFERROR(INDEX(Hoja1!$E$2:$E$45,MATCH('Análisis Resultados'!C56,Hoja1!$H$2:$H$45,0)),"")</f>
        <v>Evitar que los problemas (riesgos) obstaculicen el cumplimiento de los objetivos.</v>
      </c>
      <c r="F56" s="128" t="str">
        <f>+IFERROR(VLOOKUP(C56,Hoja1!$H$2:$I$45,2,0),"")</f>
        <v>En proceso</v>
      </c>
      <c r="G56" s="129" t="str">
        <f t="shared" si="0"/>
        <v>Se encuentra en proceso, pero requiere continuar con acciones dirigidas a contar con dicho aspecto de control.</v>
      </c>
      <c r="H56" s="6"/>
      <c r="I56" s="143">
        <f t="shared" si="1"/>
        <v>0.5</v>
      </c>
      <c r="J56" s="288"/>
    </row>
    <row r="57" spans="1:10" s="1" customFormat="1" ht="54.75" customHeight="1" x14ac:dyDescent="0.25">
      <c r="C57" s="141">
        <v>39</v>
      </c>
      <c r="D57" s="285"/>
      <c r="E57" s="127" t="str">
        <f>+IFERROR(INDEX(Hoja1!$E$2:$E$45,MATCH('Análisis Resultados'!C57,Hoja1!$H$2:$H$45,0)),"")</f>
        <v>Controlar los puntos críticos en los procesos.</v>
      </c>
      <c r="F57" s="128" t="str">
        <f>+IFERROR(VLOOKUP(C57,Hoja1!$H$2:$I$45,2,0),"")</f>
        <v>En proceso</v>
      </c>
      <c r="G57" s="129" t="str">
        <f t="shared" si="0"/>
        <v>Se encuentra en proceso, pero requiere continuar con acciones dirigidas a contar con dicho aspecto de control.</v>
      </c>
      <c r="H57" s="6"/>
      <c r="I57" s="143">
        <f t="shared" si="1"/>
        <v>0.5</v>
      </c>
      <c r="J57" s="288"/>
    </row>
    <row r="58" spans="1:10" s="1" customFormat="1" ht="68.25" customHeight="1" x14ac:dyDescent="0.25">
      <c r="C58" s="141">
        <v>40</v>
      </c>
      <c r="D58" s="285"/>
      <c r="E58" s="127" t="str">
        <f>+IFERROR(INDEX(Hoja1!$E$2:$E$45,MATCH('Análisis Resultados'!C58,Hoja1!$H$2:$H$45,0)),"")</f>
        <v>Diseñar acciones adecuadas para controlar los problemas que afectan el cumplimiento de las metas y objetivos institucionales (riesgos).</v>
      </c>
      <c r="F58" s="128" t="str">
        <f>+IFERROR(VLOOKUP(C58,Hoja1!$H$2:$I$45,2,0),"")</f>
        <v>En proceso</v>
      </c>
      <c r="G58" s="129" t="str">
        <f t="shared" si="0"/>
        <v>Se encuentra en proceso, pero requiere continuar con acciones dirigidas a contar con dicho aspecto de control.</v>
      </c>
      <c r="H58" s="6"/>
      <c r="I58" s="143">
        <f t="shared" si="1"/>
        <v>0.5</v>
      </c>
      <c r="J58" s="288"/>
    </row>
    <row r="59" spans="1:10" s="1" customFormat="1" ht="45" customHeight="1" x14ac:dyDescent="0.25">
      <c r="C59" s="141">
        <v>41</v>
      </c>
      <c r="D59" s="285"/>
      <c r="E59" s="127" t="str">
        <f>+IFERROR(INDEX(Hoja1!$E$2:$E$45,MATCH('Análisis Resultados'!C59,Hoja1!$H$2:$H$45,0)),"")</f>
        <v>Ejecutar las acciones de acuerdo a como se diseñaron previamente.</v>
      </c>
      <c r="F59" s="128" t="str">
        <f>+IFERROR(VLOOKUP(C59,Hoja1!$H$2:$I$45,2,0),"")</f>
        <v>En proceso</v>
      </c>
      <c r="G59" s="129" t="str">
        <f t="shared" si="0"/>
        <v>Se encuentra en proceso, pero requiere continuar con acciones dirigidas a contar con dicho aspecto de control.</v>
      </c>
      <c r="H59" s="6"/>
      <c r="I59" s="143">
        <f t="shared" si="1"/>
        <v>0.5</v>
      </c>
      <c r="J59" s="288"/>
    </row>
    <row r="60" spans="1:10" s="1" customFormat="1" ht="51.75" customHeight="1" x14ac:dyDescent="0.25">
      <c r="C60" s="141">
        <v>42</v>
      </c>
      <c r="D60" s="285"/>
      <c r="E60" s="127" t="str">
        <f>+IFERROR(INDEX(Hoja1!$E$2:$E$45,MATCH('Análisis Resultados'!C60,Hoja1!$H$2:$H$45,0)),"")</f>
        <v>No se gestionan los problemas que afectan el cumplimiento de las funciones y objetivos institucionales(riesgos).</v>
      </c>
      <c r="F60" s="128" t="str">
        <f>+IFERROR(VLOOKUP(C60,Hoja1!$H$2:$I$45,2,0),"")</f>
        <v>En proceso</v>
      </c>
      <c r="G60" s="129" t="str">
        <f t="shared" si="0"/>
        <v>Se encuentra en proceso, pero requiere continuar con acciones dirigidas a contar con dicho aspecto de control.</v>
      </c>
      <c r="H60" s="6"/>
      <c r="I60" s="143">
        <f t="shared" si="1"/>
        <v>0.5</v>
      </c>
      <c r="J60" s="288"/>
    </row>
    <row r="61" spans="1:10" s="1" customFormat="1" ht="84" customHeight="1" x14ac:dyDescent="0.25">
      <c r="C61" s="141">
        <v>43</v>
      </c>
      <c r="D61" s="285"/>
      <c r="E61" s="127" t="str">
        <f>+IFERROR(INDEX(Hoja1!$E$2:$E$45,MATCH('Análisis Resultados'!C61,Hoja1!$H$2:$H$45,0)),"")</f>
        <v>Medidas correctivas en caso de detectarse deficiencias en los ejercicios de evaluación, seguimiento o auditoría</v>
      </c>
      <c r="F61" s="128" t="str">
        <f>+IFERROR(VLOOKUP(C61,Hoja1!$H$2:$I$45,2,0),"")</f>
        <v>Si</v>
      </c>
      <c r="G61" s="129" t="str">
        <f t="shared" si="0"/>
        <v>Existe requerimiento pero se requiere actividades  dirigidas a su mantenimiento dentro del marco de las lineas de defensa.</v>
      </c>
      <c r="H61" s="6"/>
      <c r="I61" s="143">
        <f t="shared" si="1"/>
        <v>1</v>
      </c>
      <c r="J61" s="288"/>
    </row>
    <row r="62" spans="1:10" s="1" customFormat="1" ht="60" customHeight="1" thickBot="1" x14ac:dyDescent="0.3">
      <c r="C62" s="141">
        <v>44</v>
      </c>
      <c r="D62" s="286"/>
      <c r="E62" s="130" t="str">
        <f>+IFERROR(INDEX(Hoja1!$E$2:$E$45,MATCH('Análisis Resultados'!C62,Hoja1!$H$2:$H$45,0)),"")</f>
        <v>La entidad participa en el  Comité Municipal de Auditoría?</v>
      </c>
      <c r="F62" s="131" t="str">
        <f>+IFERROR(VLOOKUP(C62,Hoja1!$H$2:$I$45,2,0),"")</f>
        <v>Si</v>
      </c>
      <c r="G62" s="132" t="str">
        <f t="shared" si="0"/>
        <v>Existe requerimiento pero se requiere actividades  dirigidas a su mantenimiento dentro del marco de las lineas de defensa.</v>
      </c>
      <c r="H62" s="6"/>
      <c r="I62" s="144">
        <f t="shared" si="1"/>
        <v>1</v>
      </c>
      <c r="J62" s="289"/>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A13" zoomScale="64" zoomScaleNormal="64" workbookViewId="0">
      <selection activeCell="I26" sqref="I26:M26"/>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08" t="s">
        <v>124</v>
      </c>
      <c r="F4" s="310" t="s">
        <v>191</v>
      </c>
      <c r="G4" s="310"/>
      <c r="H4" s="310"/>
      <c r="I4" s="310"/>
      <c r="J4" s="310"/>
      <c r="K4" s="310"/>
      <c r="L4" s="310"/>
      <c r="M4" s="310"/>
      <c r="N4" s="7"/>
      <c r="O4" s="7"/>
      <c r="P4" s="8"/>
      <c r="Q4" s="1"/>
    </row>
    <row r="5" spans="1:17" ht="45.75" customHeight="1" x14ac:dyDescent="0.3">
      <c r="A5" s="1"/>
      <c r="B5" s="5"/>
      <c r="C5" s="6"/>
      <c r="D5" s="6"/>
      <c r="E5" s="309"/>
      <c r="F5" s="310"/>
      <c r="G5" s="310"/>
      <c r="H5" s="310"/>
      <c r="I5" s="310"/>
      <c r="J5" s="310"/>
      <c r="K5" s="310"/>
      <c r="L5" s="310"/>
      <c r="M5" s="310"/>
      <c r="N5" s="7"/>
      <c r="O5" s="7"/>
      <c r="P5" s="8"/>
      <c r="Q5" s="1"/>
    </row>
    <row r="6" spans="1:17" ht="66.75" customHeight="1" x14ac:dyDescent="0.3">
      <c r="A6" s="1"/>
      <c r="B6" s="5"/>
      <c r="C6" s="6"/>
      <c r="D6" s="6"/>
      <c r="E6" s="96" t="s">
        <v>125</v>
      </c>
      <c r="F6" s="311" t="s">
        <v>192</v>
      </c>
      <c r="G6" s="312"/>
      <c r="H6" s="312"/>
      <c r="I6" s="312"/>
      <c r="J6" s="312"/>
      <c r="K6" s="312"/>
      <c r="L6" s="312"/>
      <c r="M6" s="313"/>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14" t="s">
        <v>126</v>
      </c>
      <c r="J8" s="315"/>
      <c r="K8" s="316"/>
      <c r="L8" s="6"/>
      <c r="M8" s="149">
        <f>+AVERAGE(G26,G28,G30,G32,G34)</f>
        <v>0.77309523809523806</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7" t="s">
        <v>127</v>
      </c>
      <c r="D18" s="318"/>
      <c r="E18" s="318"/>
      <c r="F18" s="318"/>
      <c r="G18" s="318"/>
      <c r="H18" s="318"/>
      <c r="I18" s="318"/>
      <c r="J18" s="318"/>
      <c r="K18" s="318"/>
      <c r="L18" s="318"/>
      <c r="M18" s="319"/>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20" t="s">
        <v>128</v>
      </c>
      <c r="D20" s="321"/>
      <c r="E20" s="152" t="s">
        <v>76</v>
      </c>
      <c r="F20" s="322" t="s">
        <v>193</v>
      </c>
      <c r="G20" s="322"/>
      <c r="H20" s="322"/>
      <c r="I20" s="322"/>
      <c r="J20" s="322"/>
      <c r="K20" s="322"/>
      <c r="L20" s="322"/>
      <c r="M20" s="323"/>
      <c r="N20" s="15"/>
      <c r="O20" s="15"/>
      <c r="P20" s="8"/>
      <c r="Q20" s="1"/>
    </row>
    <row r="21" spans="1:17" ht="126.75" customHeight="1" x14ac:dyDescent="0.25">
      <c r="A21" s="1"/>
      <c r="B21" s="5"/>
      <c r="C21" s="304" t="s">
        <v>129</v>
      </c>
      <c r="D21" s="305"/>
      <c r="E21" s="153" t="s">
        <v>36</v>
      </c>
      <c r="F21" s="324" t="s">
        <v>194</v>
      </c>
      <c r="G21" s="324"/>
      <c r="H21" s="324"/>
      <c r="I21" s="324"/>
      <c r="J21" s="324"/>
      <c r="K21" s="324"/>
      <c r="L21" s="324"/>
      <c r="M21" s="325"/>
      <c r="N21" s="15"/>
      <c r="O21" s="15"/>
      <c r="P21" s="8"/>
      <c r="Q21" s="1"/>
    </row>
    <row r="22" spans="1:17" ht="151.5" customHeight="1" thickBot="1" x14ac:dyDescent="0.3">
      <c r="A22" s="1"/>
      <c r="B22" s="5"/>
      <c r="C22" s="306" t="s">
        <v>130</v>
      </c>
      <c r="D22" s="307"/>
      <c r="E22" s="154" t="s">
        <v>39</v>
      </c>
      <c r="F22" s="326" t="s">
        <v>195</v>
      </c>
      <c r="G22" s="326"/>
      <c r="H22" s="326"/>
      <c r="I22" s="326"/>
      <c r="J22" s="326"/>
      <c r="K22" s="326"/>
      <c r="L22" s="326"/>
      <c r="M22" s="327"/>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9" t="s">
        <v>131</v>
      </c>
      <c r="D24" s="100"/>
      <c r="E24" s="99" t="s">
        <v>132</v>
      </c>
      <c r="F24" s="100"/>
      <c r="G24" s="99" t="s">
        <v>133</v>
      </c>
      <c r="H24" s="100"/>
      <c r="I24" s="301" t="s">
        <v>134</v>
      </c>
      <c r="J24" s="301"/>
      <c r="K24" s="301"/>
      <c r="L24" s="301"/>
      <c r="M24" s="301"/>
      <c r="N24" s="33"/>
      <c r="O24" s="33"/>
      <c r="P24" s="8"/>
      <c r="Q24" s="17"/>
    </row>
    <row r="25" spans="1:17" ht="13.5" customHeight="1" thickBot="1" x14ac:dyDescent="0.3">
      <c r="A25" s="1"/>
      <c r="B25" s="5"/>
      <c r="C25" s="32"/>
      <c r="D25" s="18"/>
      <c r="E25" s="18"/>
      <c r="F25" s="18"/>
      <c r="G25" s="18"/>
      <c r="H25" s="18"/>
      <c r="I25" s="302"/>
      <c r="J25" s="302"/>
      <c r="K25" s="302"/>
      <c r="L25" s="302"/>
      <c r="M25" s="302"/>
      <c r="N25" s="34"/>
      <c r="O25" s="34"/>
      <c r="P25" s="8"/>
      <c r="Q25" s="1"/>
    </row>
    <row r="26" spans="1:17" ht="155.25" customHeight="1" thickBot="1" x14ac:dyDescent="0.3">
      <c r="A26" s="1"/>
      <c r="B26" s="5"/>
      <c r="C26" s="90" t="s">
        <v>32</v>
      </c>
      <c r="D26" s="19"/>
      <c r="E26" s="150" t="str">
        <f>+IF(Hoja1!K2&gt;=0.5,"Si","No")</f>
        <v>Si</v>
      </c>
      <c r="F26" s="20"/>
      <c r="G26" s="151">
        <f>+Hoja1!K2</f>
        <v>0.95833333333333337</v>
      </c>
      <c r="H26" s="20"/>
      <c r="I26" s="300" t="s">
        <v>196</v>
      </c>
      <c r="J26" s="298"/>
      <c r="K26" s="298"/>
      <c r="L26" s="298"/>
      <c r="M26" s="299"/>
      <c r="N26" s="35"/>
      <c r="O26" s="36"/>
      <c r="P26" s="21"/>
      <c r="Q26" s="22"/>
    </row>
    <row r="27" spans="1:17" ht="27" thickBot="1" x14ac:dyDescent="0.45">
      <c r="A27" s="1"/>
      <c r="B27" s="5"/>
      <c r="C27" s="91"/>
      <c r="D27" s="23"/>
      <c r="E27" s="98"/>
      <c r="F27" s="18"/>
      <c r="G27" s="24"/>
      <c r="H27" s="18"/>
      <c r="I27" s="303"/>
      <c r="J27" s="303"/>
      <c r="K27" s="303"/>
      <c r="L27" s="303"/>
      <c r="M27" s="303"/>
      <c r="N27" s="37"/>
      <c r="O27" s="37"/>
      <c r="P27" s="8"/>
      <c r="Q27" s="1"/>
    </row>
    <row r="28" spans="1:17" ht="111.75" customHeight="1" thickBot="1" x14ac:dyDescent="0.3">
      <c r="A28" s="1"/>
      <c r="B28" s="5"/>
      <c r="C28" s="92" t="s">
        <v>135</v>
      </c>
      <c r="D28" s="19"/>
      <c r="E28" s="150" t="str">
        <f>+IF(Hoja1!K14&gt;=0.5,"Si","No")</f>
        <v>Si</v>
      </c>
      <c r="F28" s="18"/>
      <c r="G28" s="151">
        <f>+Hoja1!K14</f>
        <v>0.95</v>
      </c>
      <c r="H28" s="18"/>
      <c r="I28" s="300" t="s">
        <v>197</v>
      </c>
      <c r="J28" s="298"/>
      <c r="K28" s="298"/>
      <c r="L28" s="298"/>
      <c r="M28" s="299"/>
      <c r="N28" s="35"/>
      <c r="O28" s="35"/>
      <c r="P28" s="8"/>
      <c r="Q28" s="1"/>
    </row>
    <row r="29" spans="1:17" ht="27" thickBot="1" x14ac:dyDescent="0.45">
      <c r="A29" s="1"/>
      <c r="B29" s="5"/>
      <c r="C29" s="91"/>
      <c r="D29" s="23"/>
      <c r="E29" s="98"/>
      <c r="F29" s="18"/>
      <c r="G29" s="24"/>
      <c r="H29" s="18"/>
      <c r="I29" s="303"/>
      <c r="J29" s="303"/>
      <c r="K29" s="303"/>
      <c r="L29" s="303"/>
      <c r="M29" s="303"/>
      <c r="N29" s="37"/>
      <c r="O29" s="37"/>
      <c r="P29" s="8"/>
      <c r="Q29" s="1"/>
    </row>
    <row r="30" spans="1:17" ht="123" customHeight="1" thickBot="1" x14ac:dyDescent="0.3">
      <c r="A30" s="1"/>
      <c r="B30" s="5"/>
      <c r="C30" s="93" t="s">
        <v>136</v>
      </c>
      <c r="D30" s="19"/>
      <c r="E30" s="150" t="str">
        <f>+IF(Hoja1!K24&gt;=0.5,"Si","No")</f>
        <v>Si</v>
      </c>
      <c r="F30" s="18"/>
      <c r="G30" s="151">
        <f>+Hoja1!K24</f>
        <v>0.5</v>
      </c>
      <c r="H30" s="18"/>
      <c r="I30" s="300" t="s">
        <v>198</v>
      </c>
      <c r="J30" s="298"/>
      <c r="K30" s="298"/>
      <c r="L30" s="298"/>
      <c r="M30" s="299"/>
      <c r="N30" s="35"/>
      <c r="O30" s="35"/>
      <c r="P30" s="8"/>
      <c r="Q30" s="1"/>
    </row>
    <row r="31" spans="1:17" ht="27" thickBot="1" x14ac:dyDescent="0.45">
      <c r="A31" s="1"/>
      <c r="B31" s="5"/>
      <c r="C31" s="91"/>
      <c r="D31" s="23"/>
      <c r="E31" s="98"/>
      <c r="F31" s="18"/>
      <c r="G31" s="24"/>
      <c r="H31" s="18"/>
      <c r="I31" s="303"/>
      <c r="J31" s="303"/>
      <c r="K31" s="303"/>
      <c r="L31" s="303"/>
      <c r="M31" s="303"/>
      <c r="N31" s="37"/>
      <c r="O31" s="37"/>
      <c r="P31" s="8"/>
      <c r="Q31" s="1"/>
    </row>
    <row r="32" spans="1:17" ht="171" customHeight="1" thickBot="1" x14ac:dyDescent="0.3">
      <c r="A32" s="1"/>
      <c r="B32" s="5"/>
      <c r="C32" s="94" t="s">
        <v>87</v>
      </c>
      <c r="D32" s="19"/>
      <c r="E32" s="150" t="str">
        <f>+IF(Hoja1!K29&gt;=0.5,"Si","No")</f>
        <v>Si</v>
      </c>
      <c r="F32" s="18"/>
      <c r="G32" s="151">
        <f>+Hoja1!K29</f>
        <v>0.8571428571428571</v>
      </c>
      <c r="H32" s="18"/>
      <c r="I32" s="297" t="s">
        <v>199</v>
      </c>
      <c r="J32" s="298"/>
      <c r="K32" s="298"/>
      <c r="L32" s="298"/>
      <c r="M32" s="299"/>
      <c r="N32" s="35"/>
      <c r="O32" s="35"/>
      <c r="P32" s="8"/>
      <c r="Q32" s="1"/>
    </row>
    <row r="33" spans="1:17" ht="27" thickBot="1" x14ac:dyDescent="0.45">
      <c r="A33" s="1"/>
      <c r="B33" s="5"/>
      <c r="C33" s="91"/>
      <c r="D33" s="23"/>
      <c r="E33" s="98"/>
      <c r="F33" s="18"/>
      <c r="G33" s="24"/>
      <c r="H33" s="18"/>
      <c r="I33" s="303"/>
      <c r="J33" s="303"/>
      <c r="K33" s="303"/>
      <c r="L33" s="303"/>
      <c r="M33" s="303"/>
      <c r="N33" s="37"/>
      <c r="O33" s="37"/>
      <c r="P33" s="8"/>
      <c r="Q33" s="1"/>
    </row>
    <row r="34" spans="1:17" ht="164.25" customHeight="1" thickBot="1" x14ac:dyDescent="0.3">
      <c r="A34" s="1"/>
      <c r="B34" s="5"/>
      <c r="C34" s="95" t="s">
        <v>137</v>
      </c>
      <c r="D34" s="19"/>
      <c r="E34" s="97" t="str">
        <f>+IF(Hoja1!K36&gt;=0.5,"Si","No")</f>
        <v>Si</v>
      </c>
      <c r="F34" s="18"/>
      <c r="G34" s="151">
        <f>+Hoja1!K36</f>
        <v>0.6</v>
      </c>
      <c r="H34" s="18"/>
      <c r="I34" s="297" t="s">
        <v>200</v>
      </c>
      <c r="J34" s="298"/>
      <c r="K34" s="298"/>
      <c r="L34" s="298"/>
      <c r="M34" s="299"/>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55" t="s">
        <v>25</v>
      </c>
      <c r="B1" s="155" t="s">
        <v>6</v>
      </c>
      <c r="C1" s="156" t="s">
        <v>8</v>
      </c>
      <c r="D1" s="157" t="s">
        <v>26</v>
      </c>
      <c r="E1" s="157" t="s">
        <v>27</v>
      </c>
      <c r="F1" s="157" t="s">
        <v>138</v>
      </c>
      <c r="G1" s="158" t="s">
        <v>139</v>
      </c>
      <c r="H1" s="158" t="s">
        <v>140</v>
      </c>
      <c r="I1" s="158" t="s">
        <v>119</v>
      </c>
      <c r="J1" s="158" t="s">
        <v>141</v>
      </c>
      <c r="K1" s="158" t="s">
        <v>142</v>
      </c>
    </row>
    <row r="2" spans="1:11" x14ac:dyDescent="0.25">
      <c r="A2" s="159" t="s">
        <v>143</v>
      </c>
      <c r="B2" s="159" t="str">
        <f>+VLOOKUP(A2,'Estado SCI'!$A$16:$C$59,3,0)</f>
        <v>AMBIENTE DE CONTROL</v>
      </c>
      <c r="C2" s="159" t="s">
        <v>33</v>
      </c>
      <c r="D2" s="159" t="s">
        <v>34</v>
      </c>
      <c r="E2" s="159" t="s">
        <v>35</v>
      </c>
      <c r="F2" s="159" t="str">
        <f>+VLOOKUP(A2,'Estado SCI'!$A$16:$I$59,9,0)</f>
        <v>Oportunidad de mejora</v>
      </c>
      <c r="G2" s="159">
        <f>+VLOOKUP(A2,'Estado SCI'!$A$16:$L$59,12,0)</f>
        <v>10.122999999999999</v>
      </c>
      <c r="H2" s="159">
        <f t="shared" ref="H2:H45" si="0">+_xlfn.RANK.EQ(G2,$G$2:$G$45,1)</f>
        <v>1</v>
      </c>
      <c r="I2" s="159" t="str">
        <f>+IF(VLOOKUP(A2,'Estado SCI'!$A$16:$G$59,7,0)="","",VLOOKUP(A2,'Estado SCI'!$A$16:$G$59,7,0))</f>
        <v>En proceso</v>
      </c>
      <c r="J2" s="160">
        <f>+IF(I2="Si",1,IF(I2="En proceso",0.5,0))</f>
        <v>0.5</v>
      </c>
      <c r="K2" s="161">
        <f t="shared" ref="K2:K45" si="1">+AVERAGEIF($B$2:$B$45,B2,$J$2:$J$45)</f>
        <v>0.95833333333333337</v>
      </c>
    </row>
    <row r="3" spans="1:11" x14ac:dyDescent="0.25">
      <c r="A3" s="159" t="s">
        <v>144</v>
      </c>
      <c r="B3" s="159" t="s">
        <v>32</v>
      </c>
      <c r="C3" s="159" t="s">
        <v>33</v>
      </c>
      <c r="D3" s="159" t="s">
        <v>37</v>
      </c>
      <c r="E3" s="159" t="s">
        <v>38</v>
      </c>
      <c r="F3" s="159" t="str">
        <f>+VLOOKUP(A3,'Estado SCI'!$A$16:$I$59,9,0)</f>
        <v>Mantenimiento del control</v>
      </c>
      <c r="G3" s="159">
        <f>+VLOOKUP(A3,'Estado SCI'!$A$16:$L$59,12,0)</f>
        <v>20.1234</v>
      </c>
      <c r="H3" s="159">
        <f t="shared" si="0"/>
        <v>2</v>
      </c>
      <c r="I3" s="159" t="str">
        <f>+IF(VLOOKUP(A3,'Estado SCI'!$A$16:$G$59,7,0)="","",VLOOKUP(A3,'Estado SCI'!$A$16:$G$59,7,0))</f>
        <v>Si</v>
      </c>
      <c r="J3" s="160">
        <f t="shared" ref="J3:J45" si="2">+IF(I3="Si",1,IF(I3="En proceso",0.5,0))</f>
        <v>1</v>
      </c>
      <c r="K3" s="161">
        <f t="shared" si="1"/>
        <v>0.95833333333333337</v>
      </c>
    </row>
    <row r="4" spans="1:11" x14ac:dyDescent="0.25">
      <c r="A4" s="159" t="s">
        <v>145</v>
      </c>
      <c r="B4" s="159" t="s">
        <v>32</v>
      </c>
      <c r="C4" s="159" t="s">
        <v>33</v>
      </c>
      <c r="D4" s="159" t="s">
        <v>40</v>
      </c>
      <c r="E4" s="159" t="s">
        <v>41</v>
      </c>
      <c r="F4" s="159" t="str">
        <f>+VLOOKUP(A4,'Estado SCI'!$A$16:$I$59,9,0)</f>
        <v>Mantenimiento del control</v>
      </c>
      <c r="G4" s="159">
        <f>+VLOOKUP(A4,'Estado SCI'!$A$16:$L$59,12,0)</f>
        <v>20.123449999999998</v>
      </c>
      <c r="H4" s="159">
        <f t="shared" si="0"/>
        <v>3</v>
      </c>
      <c r="I4" s="159" t="str">
        <f>+IF(VLOOKUP(A4,'Estado SCI'!$A$16:$G$59,7,0)="","",VLOOKUP(A4,'Estado SCI'!$A$16:$G$59,7,0))</f>
        <v>Si</v>
      </c>
      <c r="J4" s="160">
        <f t="shared" si="2"/>
        <v>1</v>
      </c>
      <c r="K4" s="161">
        <f t="shared" si="1"/>
        <v>0.95833333333333337</v>
      </c>
    </row>
    <row r="5" spans="1:11" x14ac:dyDescent="0.25">
      <c r="A5" s="159" t="s">
        <v>146</v>
      </c>
      <c r="B5" s="159" t="s">
        <v>32</v>
      </c>
      <c r="C5" s="159" t="s">
        <v>33</v>
      </c>
      <c r="D5" s="159" t="s">
        <v>42</v>
      </c>
      <c r="E5" s="159" t="s">
        <v>43</v>
      </c>
      <c r="F5" s="159" t="str">
        <f>+VLOOKUP(A5,'Estado SCI'!$A$16:$I$59,9,0)</f>
        <v>Mantenimiento del control</v>
      </c>
      <c r="G5" s="159">
        <f>+VLOOKUP(A5,'Estado SCI'!$A$16:$L$59,12,0)</f>
        <v>20.123456000000001</v>
      </c>
      <c r="H5" s="159">
        <f t="shared" si="0"/>
        <v>4</v>
      </c>
      <c r="I5" s="159" t="str">
        <f>+IF(VLOOKUP(A5,'Estado SCI'!$A$16:$G$59,7,0)="","",VLOOKUP(A5,'Estado SCI'!$A$16:$G$59,7,0))</f>
        <v>Si</v>
      </c>
      <c r="J5" s="160">
        <f t="shared" si="2"/>
        <v>1</v>
      </c>
      <c r="K5" s="161">
        <f t="shared" si="1"/>
        <v>0.95833333333333337</v>
      </c>
    </row>
    <row r="6" spans="1:11" x14ac:dyDescent="0.25">
      <c r="A6" s="159" t="s">
        <v>147</v>
      </c>
      <c r="B6" s="159" t="s">
        <v>32</v>
      </c>
      <c r="C6" s="159" t="s">
        <v>33</v>
      </c>
      <c r="D6" s="159" t="s">
        <v>44</v>
      </c>
      <c r="E6" s="159" t="s">
        <v>45</v>
      </c>
      <c r="F6" s="159" t="str">
        <f>+VLOOKUP(A6,'Estado SCI'!$A$16:$I$59,9,0)</f>
        <v>Mantenimiento del control</v>
      </c>
      <c r="G6" s="159">
        <f>+VLOOKUP(A6,'Estado SCI'!$A$16:$L$59,12,0)</f>
        <v>20.123456780000001</v>
      </c>
      <c r="H6" s="159">
        <f t="shared" si="0"/>
        <v>5</v>
      </c>
      <c r="I6" s="159" t="str">
        <f>+IF(VLOOKUP(A6,'Estado SCI'!$A$16:$G$59,7,0)="","",VLOOKUP(A6,'Estado SCI'!$A$16:$G$59,7,0))</f>
        <v>Si</v>
      </c>
      <c r="J6" s="160">
        <f t="shared" si="2"/>
        <v>1</v>
      </c>
      <c r="K6" s="161">
        <f t="shared" si="1"/>
        <v>0.95833333333333337</v>
      </c>
    </row>
    <row r="7" spans="1:11" x14ac:dyDescent="0.25">
      <c r="A7" s="159" t="s">
        <v>148</v>
      </c>
      <c r="B7" s="159" t="s">
        <v>32</v>
      </c>
      <c r="C7" s="159" t="s">
        <v>33</v>
      </c>
      <c r="D7" s="159" t="s">
        <v>46</v>
      </c>
      <c r="E7" s="159" t="s">
        <v>47</v>
      </c>
      <c r="F7" s="159" t="str">
        <f>+VLOOKUP(A7,'Estado SCI'!$A$16:$I$59,9,0)</f>
        <v>Mantenimiento del control</v>
      </c>
      <c r="G7" s="159">
        <f>+VLOOKUP(A7,'Estado SCI'!$A$16:$L$59,12,0)</f>
        <v>20.123456788999999</v>
      </c>
      <c r="H7" s="159">
        <f t="shared" si="0"/>
        <v>6</v>
      </c>
      <c r="I7" s="159" t="str">
        <f>+IF(VLOOKUP(A7,'Estado SCI'!$A$16:$G$59,7,0)="","",VLOOKUP(A7,'Estado SCI'!$A$16:$G$59,7,0))</f>
        <v>Si</v>
      </c>
      <c r="J7" s="160">
        <f t="shared" si="2"/>
        <v>1</v>
      </c>
      <c r="K7" s="161">
        <f t="shared" si="1"/>
        <v>0.95833333333333337</v>
      </c>
    </row>
    <row r="8" spans="1:11" x14ac:dyDescent="0.25">
      <c r="A8" s="159" t="s">
        <v>149</v>
      </c>
      <c r="B8" s="159" t="s">
        <v>32</v>
      </c>
      <c r="C8" s="159" t="s">
        <v>33</v>
      </c>
      <c r="D8" s="159" t="s">
        <v>48</v>
      </c>
      <c r="E8" s="159" t="s">
        <v>49</v>
      </c>
      <c r="F8" s="159" t="str">
        <f>+VLOOKUP(A8,'Estado SCI'!$A$16:$I$59,9,0)</f>
        <v>Mantenimiento del control</v>
      </c>
      <c r="G8" s="159">
        <f>+VLOOKUP(A8,'Estado SCI'!$A$16:$L$59,12,0)</f>
        <v>20.1234567891</v>
      </c>
      <c r="H8" s="159">
        <f t="shared" si="0"/>
        <v>7</v>
      </c>
      <c r="I8" s="159" t="str">
        <f>+IF(VLOOKUP(A8,'Estado SCI'!$A$16:$G$59,7,0)="","",VLOOKUP(A8,'Estado SCI'!$A$16:$G$59,7,0))</f>
        <v>Si</v>
      </c>
      <c r="J8" s="160">
        <f t="shared" si="2"/>
        <v>1</v>
      </c>
      <c r="K8" s="161">
        <f t="shared" si="1"/>
        <v>0.95833333333333337</v>
      </c>
    </row>
    <row r="9" spans="1:11" x14ac:dyDescent="0.25">
      <c r="A9" s="159" t="s">
        <v>150</v>
      </c>
      <c r="B9" s="159" t="s">
        <v>32</v>
      </c>
      <c r="C9" s="159" t="s">
        <v>33</v>
      </c>
      <c r="D9" s="159" t="s">
        <v>50</v>
      </c>
      <c r="E9" s="159" t="s">
        <v>51</v>
      </c>
      <c r="F9" s="159" t="str">
        <f>+VLOOKUP(A9,'Estado SCI'!$A$16:$I$59,9,0)</f>
        <v>Mantenimiento del control</v>
      </c>
      <c r="G9" s="159">
        <f>+VLOOKUP(A9,'Estado SCI'!$A$16:$L$59,12,0)</f>
        <v>20.123456789119999</v>
      </c>
      <c r="H9" s="159">
        <f t="shared" si="0"/>
        <v>8</v>
      </c>
      <c r="I9" s="159" t="str">
        <f>+IF(VLOOKUP(A9,'Estado SCI'!$A$16:$G$59,7,0)="","",VLOOKUP(A9,'Estado SCI'!$A$16:$G$59,7,0))</f>
        <v>Si</v>
      </c>
      <c r="J9" s="160">
        <f t="shared" si="2"/>
        <v>1</v>
      </c>
      <c r="K9" s="161">
        <f t="shared" si="1"/>
        <v>0.95833333333333337</v>
      </c>
    </row>
    <row r="10" spans="1:11" x14ac:dyDescent="0.25">
      <c r="A10" s="159" t="s">
        <v>151</v>
      </c>
      <c r="B10" s="159" t="s">
        <v>32</v>
      </c>
      <c r="C10" s="159" t="s">
        <v>33</v>
      </c>
      <c r="D10" s="159" t="s">
        <v>52</v>
      </c>
      <c r="E10" s="159" t="s">
        <v>53</v>
      </c>
      <c r="F10" s="159" t="str">
        <f>+VLOOKUP(A10,'Estado SCI'!$A$16:$I$59,9,0)</f>
        <v>Mantenimiento del control</v>
      </c>
      <c r="G10" s="159">
        <f>+VLOOKUP(A10,'Estado SCI'!$A$16:$L$59,12,0)</f>
        <v>20.123456789123001</v>
      </c>
      <c r="H10" s="159">
        <f t="shared" si="0"/>
        <v>9</v>
      </c>
      <c r="I10" s="159" t="str">
        <f>+IF(VLOOKUP(A10,'Estado SCI'!$A$16:$G$59,7,0)="","",VLOOKUP(A10,'Estado SCI'!$A$16:$G$59,7,0))</f>
        <v>Si</v>
      </c>
      <c r="J10" s="160">
        <f t="shared" si="2"/>
        <v>1</v>
      </c>
      <c r="K10" s="161">
        <f t="shared" si="1"/>
        <v>0.95833333333333337</v>
      </c>
    </row>
    <row r="11" spans="1:11" x14ac:dyDescent="0.25">
      <c r="A11" s="159" t="s">
        <v>152</v>
      </c>
      <c r="B11" s="159" t="s">
        <v>32</v>
      </c>
      <c r="C11" s="159" t="s">
        <v>33</v>
      </c>
      <c r="D11" s="159" t="s">
        <v>54</v>
      </c>
      <c r="E11" s="159" t="s">
        <v>55</v>
      </c>
      <c r="F11" s="159" t="str">
        <f>+VLOOKUP(A11,'Estado SCI'!$A$16:$I$59,9,0)</f>
        <v>Mantenimiento del control</v>
      </c>
      <c r="G11" s="159">
        <f>+VLOOKUP(A11,'Estado SCI'!$A$16:$L$59,12,0)</f>
        <v>20.123456789123399</v>
      </c>
      <c r="H11" s="159">
        <f t="shared" si="0"/>
        <v>10</v>
      </c>
      <c r="I11" s="159" t="str">
        <f>+IF(VLOOKUP(A11,'Estado SCI'!$A$16:$G$59,7,0)="","",VLOOKUP(A11,'Estado SCI'!$A$16:$G$59,7,0))</f>
        <v>Si</v>
      </c>
      <c r="J11" s="160">
        <f t="shared" si="2"/>
        <v>1</v>
      </c>
      <c r="K11" s="161">
        <f t="shared" si="1"/>
        <v>0.95833333333333337</v>
      </c>
    </row>
    <row r="12" spans="1:11" x14ac:dyDescent="0.25">
      <c r="A12" s="159" t="s">
        <v>153</v>
      </c>
      <c r="B12" s="159" t="s">
        <v>32</v>
      </c>
      <c r="C12" s="159" t="s">
        <v>33</v>
      </c>
      <c r="D12" s="159" t="s">
        <v>56</v>
      </c>
      <c r="E12" s="159" t="s">
        <v>57</v>
      </c>
      <c r="F12" s="159" t="str">
        <f>+VLOOKUP(A12,'Estado SCI'!$A$16:$I$59,9,0)</f>
        <v>Mantenimiento del control</v>
      </c>
      <c r="G12" s="159">
        <f>+VLOOKUP(A12,'Estado SCI'!$A$16:$L$59,12,0)</f>
        <v>20.123456789123448</v>
      </c>
      <c r="H12" s="159">
        <f t="shared" si="0"/>
        <v>11</v>
      </c>
      <c r="I12" s="159" t="str">
        <f>+IF(VLOOKUP(A12,'Estado SCI'!$A$16:$G$59,7,0)="","",VLOOKUP(A12,'Estado SCI'!$A$16:$G$59,7,0))</f>
        <v>Si</v>
      </c>
      <c r="J12" s="160">
        <f t="shared" si="2"/>
        <v>1</v>
      </c>
      <c r="K12" s="161">
        <f t="shared" si="1"/>
        <v>0.95833333333333337</v>
      </c>
    </row>
    <row r="13" spans="1:11" x14ac:dyDescent="0.25">
      <c r="A13" s="159" t="s">
        <v>154</v>
      </c>
      <c r="B13" s="159" t="s">
        <v>32</v>
      </c>
      <c r="C13" s="159" t="s">
        <v>33</v>
      </c>
      <c r="D13" s="159" t="s">
        <v>58</v>
      </c>
      <c r="E13" s="159" t="s">
        <v>59</v>
      </c>
      <c r="F13" s="159" t="str">
        <f>+VLOOKUP(A13,'Estado SCI'!$A$16:$I$59,9,0)</f>
        <v>Mantenimiento del control</v>
      </c>
      <c r="G13" s="159">
        <f>+VLOOKUP(A13,'Estado SCI'!$A$16:$L$59,12,0)</f>
        <v>20.123456789123455</v>
      </c>
      <c r="H13" s="159">
        <f t="shared" si="0"/>
        <v>12</v>
      </c>
      <c r="I13" s="159" t="str">
        <f>+IF(VLOOKUP(A13,'Estado SCI'!$A$16:$G$59,7,0)="","",VLOOKUP(A13,'Estado SCI'!$A$16:$G$59,7,0))</f>
        <v>Si</v>
      </c>
      <c r="J13" s="160">
        <f t="shared" si="2"/>
        <v>1</v>
      </c>
      <c r="K13" s="161">
        <f t="shared" si="1"/>
        <v>0.95833333333333337</v>
      </c>
    </row>
    <row r="14" spans="1:11" ht="15" customHeight="1" x14ac:dyDescent="0.25">
      <c r="A14" s="159" t="s">
        <v>155</v>
      </c>
      <c r="B14" s="159" t="str">
        <f>+VLOOKUP(A14,'Estado SCI'!$A$16:$C$59,3,0)</f>
        <v>EVALUACION DEL RIESGO</v>
      </c>
      <c r="C14" s="159" t="s">
        <v>62</v>
      </c>
      <c r="D14" s="159" t="s">
        <v>34</v>
      </c>
      <c r="E14" s="159" t="s">
        <v>156</v>
      </c>
      <c r="F14" s="159" t="str">
        <f>+VLOOKUP(A14,'Estado SCI'!$A$16:$I$59,9,0)</f>
        <v>Mantenimiento del control</v>
      </c>
      <c r="G14" s="159">
        <f>+VLOOKUP(A14,'Estado SCI'!$A$16:$L$59,12,0)</f>
        <v>40.229999999999997</v>
      </c>
      <c r="H14" s="159">
        <f t="shared" si="0"/>
        <v>14</v>
      </c>
      <c r="I14" s="159" t="str">
        <f>+IF(VLOOKUP(A14,'Estado SCI'!$A$16:$G$59,7,0)="","",VLOOKUP(A14,'Estado SCI'!$A$16:$G$59,7,0))</f>
        <v>Si</v>
      </c>
      <c r="J14" s="160">
        <f t="shared" si="2"/>
        <v>1</v>
      </c>
      <c r="K14" s="161">
        <f t="shared" si="1"/>
        <v>0.95</v>
      </c>
    </row>
    <row r="15" spans="1:11" ht="15" customHeight="1" x14ac:dyDescent="0.25">
      <c r="A15" s="159" t="s">
        <v>157</v>
      </c>
      <c r="B15" s="159" t="s">
        <v>61</v>
      </c>
      <c r="C15" s="159" t="s">
        <v>62</v>
      </c>
      <c r="D15" s="159" t="s">
        <v>37</v>
      </c>
      <c r="E15" s="159" t="s">
        <v>158</v>
      </c>
      <c r="F15" s="159" t="str">
        <f>+VLOOKUP(A15,'Estado SCI'!$A$16:$I$59,9,0)</f>
        <v>Mantenimiento del control</v>
      </c>
      <c r="G15" s="159">
        <f>+VLOOKUP(A15,'Estado SCI'!$A$16:$L$59,12,0)</f>
        <v>40.234000000000002</v>
      </c>
      <c r="H15" s="159">
        <f t="shared" si="0"/>
        <v>15</v>
      </c>
      <c r="I15" s="159" t="str">
        <f>+IF(VLOOKUP(A15,'Estado SCI'!$A$16:$G$59,7,0)="","",VLOOKUP(A15,'Estado SCI'!$A$16:$G$59,7,0))</f>
        <v>Si</v>
      </c>
      <c r="J15" s="160">
        <f t="shared" si="2"/>
        <v>1</v>
      </c>
      <c r="K15" s="161">
        <f t="shared" si="1"/>
        <v>0.95</v>
      </c>
    </row>
    <row r="16" spans="1:11" ht="15" customHeight="1" x14ac:dyDescent="0.25">
      <c r="A16" s="159" t="s">
        <v>159</v>
      </c>
      <c r="B16" s="159" t="s">
        <v>61</v>
      </c>
      <c r="C16" s="159" t="s">
        <v>62</v>
      </c>
      <c r="D16" s="159" t="s">
        <v>40</v>
      </c>
      <c r="E16" s="159" t="s">
        <v>160</v>
      </c>
      <c r="F16" s="159" t="str">
        <f>+VLOOKUP(A16,'Estado SCI'!$A$16:$I$59,9,0)</f>
        <v>Mantenimiento del control</v>
      </c>
      <c r="G16" s="159">
        <f>+VLOOKUP(A16,'Estado SCI'!$A$16:$L$59,12,0)</f>
        <v>40.234499999999997</v>
      </c>
      <c r="H16" s="159">
        <f t="shared" si="0"/>
        <v>16</v>
      </c>
      <c r="I16" s="159" t="str">
        <f>+IF(VLOOKUP(A16,'Estado SCI'!$A$16:$G$59,7,0)="","",VLOOKUP(A16,'Estado SCI'!$A$16:$G$59,7,0))</f>
        <v>Si</v>
      </c>
      <c r="J16" s="160">
        <f t="shared" si="2"/>
        <v>1</v>
      </c>
      <c r="K16" s="161">
        <f t="shared" si="1"/>
        <v>0.95</v>
      </c>
    </row>
    <row r="17" spans="1:11" ht="15.75" customHeight="1" x14ac:dyDescent="0.25">
      <c r="A17" s="159" t="s">
        <v>161</v>
      </c>
      <c r="B17" s="159" t="s">
        <v>61</v>
      </c>
      <c r="C17" s="159" t="s">
        <v>62</v>
      </c>
      <c r="D17" s="159" t="s">
        <v>42</v>
      </c>
      <c r="E17" s="159" t="s">
        <v>66</v>
      </c>
      <c r="F17" s="159" t="str">
        <f>+VLOOKUP(A17,'Estado SCI'!$A$16:$I$59,9,0)</f>
        <v>Mantenimiento del control</v>
      </c>
      <c r="G17" s="159">
        <f>+VLOOKUP(A17,'Estado SCI'!$A$16:$L$59,12,0)</f>
        <v>40.234560000000002</v>
      </c>
      <c r="H17" s="159">
        <f t="shared" si="0"/>
        <v>17</v>
      </c>
      <c r="I17" s="159" t="str">
        <f>+IF(VLOOKUP(A17,'Estado SCI'!$A$16:$G$59,7,0)="","",VLOOKUP(A17,'Estado SCI'!$A$16:$G$59,7,0))</f>
        <v>Si</v>
      </c>
      <c r="J17" s="160">
        <f t="shared" si="2"/>
        <v>1</v>
      </c>
      <c r="K17" s="161">
        <f t="shared" si="1"/>
        <v>0.95</v>
      </c>
    </row>
    <row r="18" spans="1:11" ht="15" customHeight="1" x14ac:dyDescent="0.25">
      <c r="A18" s="159" t="s">
        <v>162</v>
      </c>
      <c r="B18" s="159" t="s">
        <v>61</v>
      </c>
      <c r="C18" s="159" t="s">
        <v>80</v>
      </c>
      <c r="D18" s="159" t="s">
        <v>34</v>
      </c>
      <c r="E18" s="159" t="s">
        <v>69</v>
      </c>
      <c r="F18" s="159" t="str">
        <f>+VLOOKUP(A18,'Estado SCI'!$A$16:$I$59,9,0)</f>
        <v>Mantenimiento del control</v>
      </c>
      <c r="G18" s="159">
        <f>+VLOOKUP(A18,'Estado SCI'!$A$16:$L$59,12,0)</f>
        <v>40.234566999999998</v>
      </c>
      <c r="H18" s="159">
        <f t="shared" si="0"/>
        <v>18</v>
      </c>
      <c r="I18" s="159" t="str">
        <f>+IF(VLOOKUP(A18,'Estado SCI'!$A$16:$G$59,7,0)="","",VLOOKUP(A18,'Estado SCI'!$A$16:$G$59,7,0))</f>
        <v>Si</v>
      </c>
      <c r="J18" s="160">
        <f t="shared" si="2"/>
        <v>1</v>
      </c>
      <c r="K18" s="161">
        <f t="shared" si="1"/>
        <v>0.95</v>
      </c>
    </row>
    <row r="19" spans="1:11" ht="15" customHeight="1" x14ac:dyDescent="0.25">
      <c r="A19" s="159" t="s">
        <v>163</v>
      </c>
      <c r="B19" s="159" t="s">
        <v>61</v>
      </c>
      <c r="C19" s="159" t="s">
        <v>80</v>
      </c>
      <c r="D19" s="159" t="s">
        <v>37</v>
      </c>
      <c r="E19" s="159" t="s">
        <v>70</v>
      </c>
      <c r="F19" s="159" t="str">
        <f>+VLOOKUP(A19,'Estado SCI'!$A$16:$I$59,9,0)</f>
        <v>Mantenimiento del control</v>
      </c>
      <c r="G19" s="159">
        <f>+VLOOKUP(A19,'Estado SCI'!$A$16:$L$59,12,0)</f>
        <v>40.234567800000001</v>
      </c>
      <c r="H19" s="159">
        <f t="shared" si="0"/>
        <v>19</v>
      </c>
      <c r="I19" s="159" t="str">
        <f>+IF(VLOOKUP(A19,'Estado SCI'!$A$16:$G$59,7,0)="","",VLOOKUP(A19,'Estado SCI'!$A$16:$G$59,7,0))</f>
        <v>Si</v>
      </c>
      <c r="J19" s="160">
        <f t="shared" si="2"/>
        <v>1</v>
      </c>
      <c r="K19" s="161">
        <f t="shared" si="1"/>
        <v>0.95</v>
      </c>
    </row>
    <row r="20" spans="1:11" ht="15" customHeight="1" x14ac:dyDescent="0.25">
      <c r="A20" s="159" t="s">
        <v>164</v>
      </c>
      <c r="B20" s="159" t="s">
        <v>61</v>
      </c>
      <c r="C20" s="159" t="s">
        <v>80</v>
      </c>
      <c r="D20" s="159" t="s">
        <v>40</v>
      </c>
      <c r="E20" s="159" t="s">
        <v>71</v>
      </c>
      <c r="F20" s="159" t="str">
        <f>+VLOOKUP(A20,'Estado SCI'!$A$16:$I$59,9,0)</f>
        <v>Mantenimiento del control</v>
      </c>
      <c r="G20" s="159">
        <f>+VLOOKUP(A20,'Estado SCI'!$A$16:$L$59,12,0)</f>
        <v>40.234567890000001</v>
      </c>
      <c r="H20" s="159">
        <f t="shared" si="0"/>
        <v>20</v>
      </c>
      <c r="I20" s="159" t="str">
        <f>+IF(VLOOKUP(A20,'Estado SCI'!$A$16:$G$59,7,0)="","",VLOOKUP(A20,'Estado SCI'!$A$16:$G$59,7,0))</f>
        <v>Si</v>
      </c>
      <c r="J20" s="160">
        <f t="shared" si="2"/>
        <v>1</v>
      </c>
      <c r="K20" s="161">
        <f t="shared" si="1"/>
        <v>0.95</v>
      </c>
    </row>
    <row r="21" spans="1:11" ht="15.75" customHeight="1" x14ac:dyDescent="0.25">
      <c r="A21" s="159" t="s">
        <v>165</v>
      </c>
      <c r="B21" s="159" t="s">
        <v>61</v>
      </c>
      <c r="C21" s="159" t="s">
        <v>80</v>
      </c>
      <c r="D21" s="159" t="s">
        <v>34</v>
      </c>
      <c r="E21" s="159" t="s">
        <v>74</v>
      </c>
      <c r="F21" s="159" t="str">
        <f>+VLOOKUP(A21,'Estado SCI'!$A$16:$I$59,9,0)</f>
        <v>Mantenimiento del control</v>
      </c>
      <c r="G21" s="159">
        <f>+VLOOKUP(A21,'Estado SCI'!$A$16:$L$59,12,0)</f>
        <v>40.234567891200001</v>
      </c>
      <c r="H21" s="159">
        <f t="shared" si="0"/>
        <v>21</v>
      </c>
      <c r="I21" s="159" t="str">
        <f>+IF(VLOOKUP(A21,'Estado SCI'!$A$16:$G$59,7,0)="","",VLOOKUP(A21,'Estado SCI'!$A$16:$G$59,7,0))</f>
        <v>Si</v>
      </c>
      <c r="J21" s="160">
        <f t="shared" si="2"/>
        <v>1</v>
      </c>
      <c r="K21" s="161">
        <f t="shared" si="1"/>
        <v>0.95</v>
      </c>
    </row>
    <row r="22" spans="1:11" ht="15" customHeight="1" x14ac:dyDescent="0.25">
      <c r="A22" s="159" t="s">
        <v>166</v>
      </c>
      <c r="B22" s="159" t="s">
        <v>61</v>
      </c>
      <c r="C22" s="159" t="s">
        <v>88</v>
      </c>
      <c r="D22" s="159" t="s">
        <v>37</v>
      </c>
      <c r="E22" s="159" t="s">
        <v>75</v>
      </c>
      <c r="F22" s="159" t="str">
        <f>+VLOOKUP(A22,'Estado SCI'!$A$16:$I$59,9,0)</f>
        <v>Oportunidad de mejora</v>
      </c>
      <c r="G22" s="159">
        <f>+VLOOKUP(A22,'Estado SCI'!$A$16:$L$59,12,0)</f>
        <v>30.23456789123</v>
      </c>
      <c r="H22" s="159">
        <f t="shared" si="0"/>
        <v>13</v>
      </c>
      <c r="I22" s="159" t="str">
        <f>+IF(VLOOKUP(A22,'Estado SCI'!$A$16:$G$59,7,0)="","",VLOOKUP(A22,'Estado SCI'!$A$16:$G$59,7,0))</f>
        <v>En proceso</v>
      </c>
      <c r="J22" s="160">
        <f t="shared" si="2"/>
        <v>0.5</v>
      </c>
      <c r="K22" s="161">
        <f t="shared" si="1"/>
        <v>0.95</v>
      </c>
    </row>
    <row r="23" spans="1:11" ht="15" customHeight="1" x14ac:dyDescent="0.25">
      <c r="A23" s="159" t="s">
        <v>167</v>
      </c>
      <c r="B23" s="159" t="s">
        <v>61</v>
      </c>
      <c r="C23" s="159" t="s">
        <v>88</v>
      </c>
      <c r="D23" s="159" t="s">
        <v>40</v>
      </c>
      <c r="E23" s="159" t="s">
        <v>77</v>
      </c>
      <c r="F23" s="159" t="str">
        <f>+VLOOKUP(A23,'Estado SCI'!$A$16:$I$59,9,0)</f>
        <v>Mantenimiento del control</v>
      </c>
      <c r="G23" s="159">
        <f>+VLOOKUP(A23,'Estado SCI'!$A$16:$L$59,12,0)</f>
        <v>40.234567891234001</v>
      </c>
      <c r="H23" s="159">
        <f t="shared" si="0"/>
        <v>22</v>
      </c>
      <c r="I23" s="159" t="str">
        <f>+IF(VLOOKUP(A23,'Estado SCI'!$A$16:$G$59,7,0)="","",VLOOKUP(A23,'Estado SCI'!$A$16:$G$59,7,0))</f>
        <v>Si</v>
      </c>
      <c r="J23" s="160">
        <f t="shared" si="2"/>
        <v>1</v>
      </c>
      <c r="K23" s="161">
        <f t="shared" si="1"/>
        <v>0.95</v>
      </c>
    </row>
    <row r="24" spans="1:11" ht="15" customHeight="1" x14ac:dyDescent="0.25">
      <c r="A24" s="159" t="s">
        <v>168</v>
      </c>
      <c r="B24" s="159" t="str">
        <f>+VLOOKUP(A24,'Estado SCI'!$A$16:$C$59,3,0)</f>
        <v>ACTIVIDADES DE CONTROL</v>
      </c>
      <c r="C24" s="159" t="s">
        <v>88</v>
      </c>
      <c r="D24" s="159" t="s">
        <v>34</v>
      </c>
      <c r="E24" s="159" t="s">
        <v>81</v>
      </c>
      <c r="F24" s="159" t="str">
        <f>+VLOOKUP(A24,'Estado SCI'!$A$16:$I$59,9,0)</f>
        <v>Oportunidad de mejora</v>
      </c>
      <c r="G24" s="159">
        <f>+VLOOKUP(A24,'Estado SCI'!$A$16:$L$59,12,0)</f>
        <v>50.31</v>
      </c>
      <c r="H24" s="159">
        <f t="shared" si="0"/>
        <v>24</v>
      </c>
      <c r="I24" s="159" t="str">
        <f>+IF(VLOOKUP(A24,'Estado SCI'!$A$16:$G$59,7,0)="","",VLOOKUP(A24,'Estado SCI'!$A$16:$G$59,7,0))</f>
        <v>En proceso</v>
      </c>
      <c r="J24" s="160">
        <f t="shared" si="2"/>
        <v>0.5</v>
      </c>
      <c r="K24" s="161">
        <f t="shared" si="1"/>
        <v>0.5</v>
      </c>
    </row>
    <row r="25" spans="1:11" ht="15" customHeight="1" x14ac:dyDescent="0.25">
      <c r="A25" s="159" t="s">
        <v>169</v>
      </c>
      <c r="B25" s="159" t="s">
        <v>79</v>
      </c>
      <c r="C25" s="159" t="s">
        <v>88</v>
      </c>
      <c r="D25" s="159" t="s">
        <v>37</v>
      </c>
      <c r="E25" s="159" t="s">
        <v>82</v>
      </c>
      <c r="F25" s="159" t="str">
        <f>+VLOOKUP(A25,'Estado SCI'!$A$16:$I$59,9,0)</f>
        <v>Oportunidad de mejora</v>
      </c>
      <c r="G25" s="159">
        <f>+VLOOKUP(A25,'Estado SCI'!$A$16:$L$59,12,0)</f>
        <v>50.323</v>
      </c>
      <c r="H25" s="159">
        <f t="shared" si="0"/>
        <v>25</v>
      </c>
      <c r="I25" s="159" t="str">
        <f>+IF(VLOOKUP(A25,'Estado SCI'!$A$16:$G$59,7,0)="","",VLOOKUP(A25,'Estado SCI'!$A$16:$G$59,7,0))</f>
        <v>En proceso</v>
      </c>
      <c r="J25" s="160">
        <f t="shared" si="2"/>
        <v>0.5</v>
      </c>
      <c r="K25" s="161">
        <f t="shared" si="1"/>
        <v>0.5</v>
      </c>
    </row>
    <row r="26" spans="1:11" ht="15" customHeight="1" x14ac:dyDescent="0.25">
      <c r="A26" s="159" t="s">
        <v>170</v>
      </c>
      <c r="B26" s="159" t="s">
        <v>79</v>
      </c>
      <c r="C26" s="159" t="s">
        <v>88</v>
      </c>
      <c r="D26" s="159" t="s">
        <v>40</v>
      </c>
      <c r="E26" s="159" t="s">
        <v>83</v>
      </c>
      <c r="F26" s="159" t="str">
        <f>+VLOOKUP(A26,'Estado SCI'!$A$16:$I$59,9,0)</f>
        <v>Oportunidad de mejora</v>
      </c>
      <c r="G26" s="159">
        <f>+VLOOKUP(A26,'Estado SCI'!$A$16:$L$59,12,0)</f>
        <v>50.323999999999998</v>
      </c>
      <c r="H26" s="159">
        <f t="shared" si="0"/>
        <v>26</v>
      </c>
      <c r="I26" s="159" t="str">
        <f>+IF(VLOOKUP(A26,'Estado SCI'!$A$16:$G$59,7,0)="","",VLOOKUP(A26,'Estado SCI'!$A$16:$G$59,7,0))</f>
        <v>En proceso</v>
      </c>
      <c r="J26" s="160">
        <f t="shared" si="2"/>
        <v>0.5</v>
      </c>
      <c r="K26" s="161">
        <f t="shared" si="1"/>
        <v>0.5</v>
      </c>
    </row>
    <row r="27" spans="1:11" ht="15.75" customHeight="1" x14ac:dyDescent="0.25">
      <c r="A27" s="159" t="s">
        <v>171</v>
      </c>
      <c r="B27" s="159" t="s">
        <v>79</v>
      </c>
      <c r="C27" s="159" t="s">
        <v>88</v>
      </c>
      <c r="D27" s="159" t="s">
        <v>42</v>
      </c>
      <c r="E27" s="159" t="s">
        <v>84</v>
      </c>
      <c r="F27" s="159" t="str">
        <f>+VLOOKUP(A27,'Estado SCI'!$A$16:$I$59,9,0)</f>
        <v>Deficiencia de control</v>
      </c>
      <c r="G27" s="159">
        <f>+VLOOKUP(A27,'Estado SCI'!$A$16:$L$59,12,0)</f>
        <v>40.325000000000003</v>
      </c>
      <c r="H27" s="159">
        <f t="shared" si="0"/>
        <v>23</v>
      </c>
      <c r="I27" s="159" t="str">
        <f>+IF(VLOOKUP(A27,'Estado SCI'!$A$16:$G$59,7,0)="","",VLOOKUP(A27,'Estado SCI'!$A$16:$G$59,7,0))</f>
        <v>No</v>
      </c>
      <c r="J27" s="160">
        <f t="shared" si="2"/>
        <v>0</v>
      </c>
      <c r="K27" s="161">
        <f t="shared" si="1"/>
        <v>0.5</v>
      </c>
    </row>
    <row r="28" spans="1:11" ht="15" customHeight="1" x14ac:dyDescent="0.25">
      <c r="A28" s="159" t="s">
        <v>172</v>
      </c>
      <c r="B28" s="159" t="s">
        <v>79</v>
      </c>
      <c r="C28" s="159" t="s">
        <v>98</v>
      </c>
      <c r="D28" s="159" t="s">
        <v>44</v>
      </c>
      <c r="E28" s="159" t="s">
        <v>85</v>
      </c>
      <c r="F28" s="159" t="str">
        <f>+VLOOKUP(A28,'Estado SCI'!$A$16:$I$59,9,0)</f>
        <v>Mantenimiento del control</v>
      </c>
      <c r="G28" s="159">
        <f>+VLOOKUP(A28,'Estado SCI'!$A$16:$L$59,12,0)</f>
        <v>60.326000000000001</v>
      </c>
      <c r="H28" s="159">
        <f t="shared" si="0"/>
        <v>27</v>
      </c>
      <c r="I28" s="159" t="str">
        <f>+IF(VLOOKUP(A28,'Estado SCI'!$A$16:$G$59,7,0)="","",VLOOKUP(A28,'Estado SCI'!$A$16:$G$59,7,0))</f>
        <v>Si</v>
      </c>
      <c r="J28" s="160">
        <f t="shared" si="2"/>
        <v>1</v>
      </c>
      <c r="K28" s="161">
        <f t="shared" si="1"/>
        <v>0.5</v>
      </c>
    </row>
    <row r="29" spans="1:11" ht="15" customHeight="1" x14ac:dyDescent="0.25">
      <c r="A29" s="159" t="s">
        <v>173</v>
      </c>
      <c r="B29" s="159" t="str">
        <f>+VLOOKUP(A29,'Estado SCI'!$A$16:$C$59,3,0)</f>
        <v>INFORMACION Y COMUNICACIÓN</v>
      </c>
      <c r="C29" s="159" t="s">
        <v>98</v>
      </c>
      <c r="D29" s="159" t="s">
        <v>34</v>
      </c>
      <c r="E29" s="159" t="s">
        <v>89</v>
      </c>
      <c r="F29" s="159" t="str">
        <f>+VLOOKUP(A29,'Estado SCI'!$A$16:$I$59,9,0)</f>
        <v>Mantenimiento del control</v>
      </c>
      <c r="G29" s="159">
        <f>+VLOOKUP(A29,'Estado SCI'!$A$16:$L$59,12,0)</f>
        <v>80.412000000000006</v>
      </c>
      <c r="H29" s="159">
        <f t="shared" si="0"/>
        <v>30</v>
      </c>
      <c r="I29" s="159" t="str">
        <f>+IF(VLOOKUP(A29,'Estado SCI'!$A$16:$G$59,7,0)="","",VLOOKUP(A29,'Estado SCI'!$A$16:$G$59,7,0))</f>
        <v>Si</v>
      </c>
      <c r="J29" s="160">
        <f t="shared" si="2"/>
        <v>1</v>
      </c>
      <c r="K29" s="161">
        <f t="shared" si="1"/>
        <v>0.8571428571428571</v>
      </c>
    </row>
    <row r="30" spans="1:11" ht="15" customHeight="1" x14ac:dyDescent="0.25">
      <c r="A30" s="159" t="s">
        <v>174</v>
      </c>
      <c r="B30" s="159" t="s">
        <v>87</v>
      </c>
      <c r="C30" s="159" t="s">
        <v>98</v>
      </c>
      <c r="D30" s="159" t="s">
        <v>37</v>
      </c>
      <c r="E30" s="159" t="s">
        <v>90</v>
      </c>
      <c r="F30" s="159" t="str">
        <f>+VLOOKUP(A30,'Estado SCI'!$A$16:$I$59,9,0)</f>
        <v>Mantenimiento del control</v>
      </c>
      <c r="G30" s="159">
        <f>+VLOOKUP(A30,'Estado SCI'!$A$16:$L$59,12,0)</f>
        <v>80.412300000000002</v>
      </c>
      <c r="H30" s="159">
        <f t="shared" si="0"/>
        <v>31</v>
      </c>
      <c r="I30" s="159" t="str">
        <f>+IF(VLOOKUP(A30,'Estado SCI'!$A$16:$G$59,7,0)="","",VLOOKUP(A30,'Estado SCI'!$A$16:$G$59,7,0))</f>
        <v>Si</v>
      </c>
      <c r="J30" s="160">
        <f t="shared" si="2"/>
        <v>1</v>
      </c>
      <c r="K30" s="161">
        <f t="shared" si="1"/>
        <v>0.8571428571428571</v>
      </c>
    </row>
    <row r="31" spans="1:11" ht="15.75" customHeight="1" x14ac:dyDescent="0.25">
      <c r="A31" s="159" t="s">
        <v>175</v>
      </c>
      <c r="B31" s="159" t="s">
        <v>87</v>
      </c>
      <c r="C31" s="159" t="s">
        <v>98</v>
      </c>
      <c r="D31" s="159" t="s">
        <v>40</v>
      </c>
      <c r="E31" s="159" t="s">
        <v>91</v>
      </c>
      <c r="F31" s="159" t="str">
        <f>+VLOOKUP(A31,'Estado SCI'!$A$16:$I$59,9,0)</f>
        <v>Mantenimiento del control</v>
      </c>
      <c r="G31" s="159">
        <f>+VLOOKUP(A31,'Estado SCI'!$A$16:$L$59,12,0)</f>
        <v>80.41234</v>
      </c>
      <c r="H31" s="159">
        <f t="shared" si="0"/>
        <v>32</v>
      </c>
      <c r="I31" s="159" t="str">
        <f>+IF(VLOOKUP(A31,'Estado SCI'!$A$16:$G$59,7,0)="","",VLOOKUP(A31,'Estado SCI'!$A$16:$G$59,7,0))</f>
        <v>Si</v>
      </c>
      <c r="J31" s="160">
        <f t="shared" si="2"/>
        <v>1</v>
      </c>
      <c r="K31" s="161">
        <f t="shared" si="1"/>
        <v>0.8571428571428571</v>
      </c>
    </row>
    <row r="32" spans="1:11" x14ac:dyDescent="0.25">
      <c r="A32" s="159" t="s">
        <v>176</v>
      </c>
      <c r="B32" s="159" t="s">
        <v>87</v>
      </c>
      <c r="C32" s="159" t="s">
        <v>104</v>
      </c>
      <c r="D32" s="159" t="s">
        <v>42</v>
      </c>
      <c r="E32" s="159" t="s">
        <v>92</v>
      </c>
      <c r="F32" s="159" t="str">
        <f>+VLOOKUP(A32,'Estado SCI'!$A$16:$I$59,9,0)</f>
        <v>Mantenimiento del control</v>
      </c>
      <c r="G32" s="159">
        <f>+VLOOKUP(A32,'Estado SCI'!$A$16:$L$59,12,0)</f>
        <v>80.412345000000002</v>
      </c>
      <c r="H32" s="159">
        <f t="shared" si="0"/>
        <v>33</v>
      </c>
      <c r="I32" s="159" t="str">
        <f>+IF(VLOOKUP(A32,'Estado SCI'!$A$16:$G$59,7,0)="","",VLOOKUP(A32,'Estado SCI'!$A$16:$G$59,7,0))</f>
        <v>Si</v>
      </c>
      <c r="J32" s="160">
        <f t="shared" si="2"/>
        <v>1</v>
      </c>
      <c r="K32" s="161">
        <f t="shared" si="1"/>
        <v>0.8571428571428571</v>
      </c>
    </row>
    <row r="33" spans="1:11" x14ac:dyDescent="0.25">
      <c r="A33" s="159" t="s">
        <v>177</v>
      </c>
      <c r="B33" s="159" t="s">
        <v>87</v>
      </c>
      <c r="C33" s="159" t="s">
        <v>178</v>
      </c>
      <c r="D33" s="159" t="s">
        <v>44</v>
      </c>
      <c r="E33" s="159" t="s">
        <v>93</v>
      </c>
      <c r="F33" s="159" t="str">
        <f>+VLOOKUP(A33,'Estado SCI'!$A$16:$I$59,9,0)</f>
        <v>Oportunidad de mejora</v>
      </c>
      <c r="G33" s="159">
        <f>+VLOOKUP(A33,'Estado SCI'!$A$16:$L$59,12,0)</f>
        <v>70.412345599999995</v>
      </c>
      <c r="H33" s="159">
        <f t="shared" si="0"/>
        <v>28</v>
      </c>
      <c r="I33" s="159" t="str">
        <f>+IF(VLOOKUP(A33,'Estado SCI'!$A$16:$G$59,7,0)="","",VLOOKUP(A33,'Estado SCI'!$A$16:$G$59,7,0))</f>
        <v>En proceso</v>
      </c>
      <c r="J33" s="160">
        <f t="shared" si="2"/>
        <v>0.5</v>
      </c>
      <c r="K33" s="161">
        <f t="shared" si="1"/>
        <v>0.8571428571428571</v>
      </c>
    </row>
    <row r="34" spans="1:11" x14ac:dyDescent="0.25">
      <c r="A34" s="159" t="s">
        <v>179</v>
      </c>
      <c r="B34" s="159" t="s">
        <v>87</v>
      </c>
      <c r="C34" s="159" t="s">
        <v>178</v>
      </c>
      <c r="D34" s="159" t="s">
        <v>46</v>
      </c>
      <c r="E34" s="159" t="s">
        <v>94</v>
      </c>
      <c r="F34" s="159" t="str">
        <f>+VLOOKUP(A34,'Estado SCI'!$A$16:$I$59,9,0)</f>
        <v>Oportunidad de mejora</v>
      </c>
      <c r="G34" s="159">
        <f>+VLOOKUP(A34,'Estado SCI'!$A$16:$L$59,12,0)</f>
        <v>70.412345669999993</v>
      </c>
      <c r="H34" s="159">
        <f t="shared" si="0"/>
        <v>29</v>
      </c>
      <c r="I34" s="159" t="str">
        <f>+IF(VLOOKUP(A34,'Estado SCI'!$A$16:$G$59,7,0)="","",VLOOKUP(A34,'Estado SCI'!$A$16:$G$59,7,0))</f>
        <v>En proceso</v>
      </c>
      <c r="J34" s="160">
        <f t="shared" si="2"/>
        <v>0.5</v>
      </c>
      <c r="K34" s="161">
        <f t="shared" si="1"/>
        <v>0.8571428571428571</v>
      </c>
    </row>
    <row r="35" spans="1:11" x14ac:dyDescent="0.25">
      <c r="A35" s="159" t="s">
        <v>180</v>
      </c>
      <c r="B35" s="159" t="s">
        <v>87</v>
      </c>
      <c r="C35" s="159" t="s">
        <v>178</v>
      </c>
      <c r="D35" s="159" t="s">
        <v>48</v>
      </c>
      <c r="E35" s="159" t="s">
        <v>95</v>
      </c>
      <c r="F35" s="159" t="str">
        <f>+VLOOKUP(A35,'Estado SCI'!$A$16:$I$59,9,0)</f>
        <v>Mantenimiento del control</v>
      </c>
      <c r="G35" s="159">
        <f>+VLOOKUP(A35,'Estado SCI'!$A$16:$L$59,12,0)</f>
        <v>80.412345677999994</v>
      </c>
      <c r="H35" s="159">
        <f t="shared" si="0"/>
        <v>34</v>
      </c>
      <c r="I35" s="159" t="str">
        <f>+IF(VLOOKUP(A35,'Estado SCI'!$A$16:$G$59,7,0)="","",VLOOKUP(A35,'Estado SCI'!$A$16:$G$59,7,0))</f>
        <v>Si</v>
      </c>
      <c r="J35" s="160">
        <f t="shared" si="2"/>
        <v>1</v>
      </c>
      <c r="K35" s="161">
        <f t="shared" si="1"/>
        <v>0.8571428571428571</v>
      </c>
    </row>
    <row r="36" spans="1:11" x14ac:dyDescent="0.25">
      <c r="A36" s="159" t="s">
        <v>181</v>
      </c>
      <c r="B36" s="159" t="str">
        <f>+VLOOKUP(A36,'Estado SCI'!$A$16:$C$59,3,0)</f>
        <v>ACTIVIDADES DE MONITOREO</v>
      </c>
      <c r="C36" s="159" t="s">
        <v>178</v>
      </c>
      <c r="D36" s="159" t="s">
        <v>34</v>
      </c>
      <c r="E36" s="159" t="s">
        <v>99</v>
      </c>
      <c r="F36" s="159" t="str">
        <f>+VLOOKUP(A36,'Estado SCI'!$A$16:$I$59,9,0)</f>
        <v>Oportunidad de mejora</v>
      </c>
      <c r="G36" s="159">
        <f>+VLOOKUP(A36,'Estado SCI'!$A$16:$L$59,12,0)</f>
        <v>100.851</v>
      </c>
      <c r="H36" s="159">
        <f t="shared" si="0"/>
        <v>35</v>
      </c>
      <c r="I36" s="159" t="str">
        <f>+IF(VLOOKUP(A36,'Estado SCI'!$A$16:$G$59,7,0)="","",VLOOKUP(A36,'Estado SCI'!$A$16:$G$59,7,0))</f>
        <v>En proceso</v>
      </c>
      <c r="J36" s="160">
        <f t="shared" si="2"/>
        <v>0.5</v>
      </c>
      <c r="K36" s="161">
        <f t="shared" si="1"/>
        <v>0.6</v>
      </c>
    </row>
    <row r="37" spans="1:11" x14ac:dyDescent="0.25">
      <c r="A37" s="159" t="s">
        <v>182</v>
      </c>
      <c r="B37" s="159" t="s">
        <v>97</v>
      </c>
      <c r="C37" s="159" t="s">
        <v>178</v>
      </c>
      <c r="D37" s="159" t="s">
        <v>42</v>
      </c>
      <c r="E37" s="159" t="s">
        <v>100</v>
      </c>
      <c r="F37" s="159" t="str">
        <f>+VLOOKUP(A37,'Estado SCI'!$A$16:$I$59,9,0)</f>
        <v>Oportunidad de mejora</v>
      </c>
      <c r="G37" s="159">
        <f>+VLOOKUP(A37,'Estado SCI'!$A$16:$L$59,12,0)</f>
        <v>100.85120000000001</v>
      </c>
      <c r="H37" s="159">
        <f t="shared" si="0"/>
        <v>36</v>
      </c>
      <c r="I37" s="159" t="str">
        <f>+IF(VLOOKUP(A37,'Estado SCI'!$A$16:$G$59,7,0)="","",VLOOKUP(A37,'Estado SCI'!$A$16:$G$59,7,0))</f>
        <v>En proceso</v>
      </c>
      <c r="J37" s="160">
        <f t="shared" si="2"/>
        <v>0.5</v>
      </c>
      <c r="K37" s="161">
        <f t="shared" si="1"/>
        <v>0.6</v>
      </c>
    </row>
    <row r="38" spans="1:11" x14ac:dyDescent="0.25">
      <c r="A38" s="159" t="s">
        <v>183</v>
      </c>
      <c r="B38" s="159" t="s">
        <v>97</v>
      </c>
      <c r="C38" s="159" t="s">
        <v>68</v>
      </c>
      <c r="D38" s="159" t="s">
        <v>46</v>
      </c>
      <c r="E38" s="159" t="s">
        <v>101</v>
      </c>
      <c r="F38" s="159" t="str">
        <f>+VLOOKUP(A38,'Estado SCI'!$A$16:$I$59,9,0)</f>
        <v>Mantenimiento del control</v>
      </c>
      <c r="G38" s="159">
        <f>+VLOOKUP(A38,'Estado SCI'!$A$16:$L$59,12,0)</f>
        <v>120.85123</v>
      </c>
      <c r="H38" s="159">
        <f t="shared" si="0"/>
        <v>43</v>
      </c>
      <c r="I38" s="159" t="str">
        <f>+IF(VLOOKUP(A38,'Estado SCI'!$A$16:$G$59,7,0)="","",VLOOKUP(A38,'Estado SCI'!$A$16:$G$59,7,0))</f>
        <v>Si</v>
      </c>
      <c r="J38" s="160">
        <f t="shared" si="2"/>
        <v>1</v>
      </c>
      <c r="K38" s="161">
        <f t="shared" si="1"/>
        <v>0.6</v>
      </c>
    </row>
    <row r="39" spans="1:11" x14ac:dyDescent="0.25">
      <c r="A39" s="159" t="s">
        <v>184</v>
      </c>
      <c r="B39" s="159" t="s">
        <v>97</v>
      </c>
      <c r="C39" s="159" t="s">
        <v>68</v>
      </c>
      <c r="D39" s="159" t="s">
        <v>48</v>
      </c>
      <c r="E39" s="159" t="s">
        <v>102</v>
      </c>
      <c r="F39" s="159" t="str">
        <f>+VLOOKUP(A39,'Estado SCI'!$A$16:$I$59,9,0)</f>
        <v>Oportunidad de mejora</v>
      </c>
      <c r="G39" s="159">
        <f>+VLOOKUP(A39,'Estado SCI'!$A$16:$L$59,12,0)</f>
        <v>100.85123400000001</v>
      </c>
      <c r="H39" s="159">
        <f t="shared" si="0"/>
        <v>37</v>
      </c>
      <c r="I39" s="159" t="str">
        <f>+IF(VLOOKUP(A39,'Estado SCI'!$A$16:$G$59,7,0)="","",VLOOKUP(A39,'Estado SCI'!$A$16:$G$59,7,0))</f>
        <v>En proceso</v>
      </c>
      <c r="J39" s="160">
        <f t="shared" si="2"/>
        <v>0.5</v>
      </c>
      <c r="K39" s="161">
        <f t="shared" si="1"/>
        <v>0.6</v>
      </c>
    </row>
    <row r="40" spans="1:11" x14ac:dyDescent="0.25">
      <c r="A40" s="159" t="s">
        <v>185</v>
      </c>
      <c r="B40" s="159" t="s">
        <v>97</v>
      </c>
      <c r="C40" s="159" t="s">
        <v>68</v>
      </c>
      <c r="D40" s="159" t="s">
        <v>50</v>
      </c>
      <c r="E40" s="159" t="s">
        <v>105</v>
      </c>
      <c r="F40" s="159" t="str">
        <f>+VLOOKUP(A40,'Estado SCI'!$A$16:$I$59,9,0)</f>
        <v>Mantenimiento del control</v>
      </c>
      <c r="G40" s="159">
        <f>+VLOOKUP(A40,'Estado SCI'!$A$16:$L$59,12,0)</f>
        <v>120.8512345</v>
      </c>
      <c r="H40" s="159">
        <f t="shared" si="0"/>
        <v>44</v>
      </c>
      <c r="I40" s="159" t="str">
        <f>+IF(VLOOKUP(A40,'Estado SCI'!$A$16:$G$59,7,0)="","",VLOOKUP(A40,'Estado SCI'!$A$16:$G$59,7,0))</f>
        <v>Si</v>
      </c>
      <c r="J40" s="160">
        <f t="shared" si="2"/>
        <v>1</v>
      </c>
      <c r="K40" s="161">
        <f t="shared" si="1"/>
        <v>0.6</v>
      </c>
    </row>
    <row r="41" spans="1:11" x14ac:dyDescent="0.25">
      <c r="A41" s="159" t="s">
        <v>186</v>
      </c>
      <c r="B41" s="159" t="s">
        <v>97</v>
      </c>
      <c r="C41" s="159" t="s">
        <v>68</v>
      </c>
      <c r="D41" s="159" t="s">
        <v>34</v>
      </c>
      <c r="E41" s="159" t="s">
        <v>108</v>
      </c>
      <c r="F41" s="159" t="str">
        <f>+VLOOKUP(A41,'Estado SCI'!$A$16:$I$59,9,0)</f>
        <v>Oportunidad de mejora</v>
      </c>
      <c r="G41" s="159">
        <f>+VLOOKUP(A41,'Estado SCI'!$A$16:$L$59,12,0)</f>
        <v>100.85123455999999</v>
      </c>
      <c r="H41" s="159">
        <f t="shared" si="0"/>
        <v>38</v>
      </c>
      <c r="I41" s="159" t="str">
        <f>+IF(VLOOKUP(A41,'Estado SCI'!$A$16:$G$59,7,0)="","",VLOOKUP(A41,'Estado SCI'!$A$16:$G$59,7,0))</f>
        <v>En proceso</v>
      </c>
      <c r="J41" s="160">
        <f t="shared" si="2"/>
        <v>0.5</v>
      </c>
      <c r="K41" s="161">
        <f t="shared" si="1"/>
        <v>0.6</v>
      </c>
    </row>
    <row r="42" spans="1:11" x14ac:dyDescent="0.25">
      <c r="A42" s="159" t="s">
        <v>187</v>
      </c>
      <c r="B42" s="159" t="s">
        <v>97</v>
      </c>
      <c r="C42" s="159" t="s">
        <v>73</v>
      </c>
      <c r="D42" s="159" t="s">
        <v>37</v>
      </c>
      <c r="E42" s="159" t="s">
        <v>109</v>
      </c>
      <c r="F42" s="159" t="str">
        <f>+VLOOKUP(A42,'Estado SCI'!$A$16:$I$59,9,0)</f>
        <v>Oportunidad de mejora</v>
      </c>
      <c r="G42" s="159">
        <f>+VLOOKUP(A42,'Estado SCI'!$A$16:$L$59,12,0)</f>
        <v>100.85123456700001</v>
      </c>
      <c r="H42" s="159">
        <f t="shared" si="0"/>
        <v>39</v>
      </c>
      <c r="I42" s="159" t="str">
        <f>+IF(VLOOKUP(A42,'Estado SCI'!$A$16:$G$59,7,0)="","",VLOOKUP(A42,'Estado SCI'!$A$16:$G$59,7,0))</f>
        <v>En proceso</v>
      </c>
      <c r="J42" s="160">
        <f t="shared" si="2"/>
        <v>0.5</v>
      </c>
      <c r="K42" s="161">
        <f t="shared" si="1"/>
        <v>0.6</v>
      </c>
    </row>
    <row r="43" spans="1:11" x14ac:dyDescent="0.25">
      <c r="A43" s="159" t="s">
        <v>188</v>
      </c>
      <c r="B43" s="159" t="s">
        <v>97</v>
      </c>
      <c r="C43" s="159" t="s">
        <v>73</v>
      </c>
      <c r="D43" s="159" t="s">
        <v>40</v>
      </c>
      <c r="E43" s="159" t="s">
        <v>110</v>
      </c>
      <c r="F43" s="159" t="str">
        <f>+VLOOKUP(A43,'Estado SCI'!$A$16:$I$59,9,0)</f>
        <v>Oportunidad de mejora</v>
      </c>
      <c r="G43" s="159">
        <f>+VLOOKUP(A43,'Estado SCI'!$A$16:$L$59,12,0)</f>
        <v>100.85123456780001</v>
      </c>
      <c r="H43" s="159">
        <f t="shared" si="0"/>
        <v>40</v>
      </c>
      <c r="I43" s="159" t="str">
        <f>+IF(VLOOKUP(A43,'Estado SCI'!$A$16:$G$59,7,0)="","",VLOOKUP(A43,'Estado SCI'!$A$16:$G$59,7,0))</f>
        <v>En proceso</v>
      </c>
      <c r="J43" s="160">
        <f t="shared" si="2"/>
        <v>0.5</v>
      </c>
      <c r="K43" s="161">
        <f t="shared" si="1"/>
        <v>0.6</v>
      </c>
    </row>
    <row r="44" spans="1:11" x14ac:dyDescent="0.25">
      <c r="A44" s="159" t="s">
        <v>189</v>
      </c>
      <c r="B44" s="159" t="s">
        <v>97</v>
      </c>
      <c r="C44" s="159" t="s">
        <v>73</v>
      </c>
      <c r="D44" s="159" t="s">
        <v>42</v>
      </c>
      <c r="E44" s="159" t="s">
        <v>111</v>
      </c>
      <c r="F44" s="159" t="str">
        <f>+VLOOKUP(A44,'Estado SCI'!$A$16:$I$59,9,0)</f>
        <v>Oportunidad de mejora</v>
      </c>
      <c r="G44" s="159">
        <f>+VLOOKUP(A44,'Estado SCI'!$A$16:$L$59,12,0)</f>
        <v>100.85123456789</v>
      </c>
      <c r="H44" s="159">
        <f t="shared" si="0"/>
        <v>41</v>
      </c>
      <c r="I44" s="159" t="str">
        <f>+IF(VLOOKUP(A44,'Estado SCI'!$A$16:$G$59,7,0)="","",VLOOKUP(A44,'Estado SCI'!$A$16:$G$59,7,0))</f>
        <v>En proceso</v>
      </c>
      <c r="J44" s="160">
        <f t="shared" si="2"/>
        <v>0.5</v>
      </c>
      <c r="K44" s="161">
        <f t="shared" si="1"/>
        <v>0.6</v>
      </c>
    </row>
    <row r="45" spans="1:11" x14ac:dyDescent="0.25">
      <c r="A45" s="159" t="s">
        <v>190</v>
      </c>
      <c r="B45" s="159" t="s">
        <v>97</v>
      </c>
      <c r="C45" s="159" t="s">
        <v>73</v>
      </c>
      <c r="D45" s="159" t="s">
        <v>44</v>
      </c>
      <c r="E45" s="159" t="s">
        <v>112</v>
      </c>
      <c r="F45" s="159" t="str">
        <f>+VLOOKUP(A45,'Estado SCI'!$A$16:$I$59,9,0)</f>
        <v>Oportunidad de mejora</v>
      </c>
      <c r="G45" s="159">
        <f>+VLOOKUP(A45,'Estado SCI'!$A$16:$L$59,12,0)</f>
        <v>100.851234567891</v>
      </c>
      <c r="H45" s="159">
        <f t="shared" si="0"/>
        <v>42</v>
      </c>
      <c r="I45" s="159" t="str">
        <f>+IF(VLOOKUP(A45,'Estado SCI'!$A$16:$G$59,7,0)="","",VLOOKUP(A45,'Estado SCI'!$A$16:$G$59,7,0))</f>
        <v>En proceso</v>
      </c>
      <c r="J45" s="160">
        <f t="shared" si="2"/>
        <v>0.5</v>
      </c>
      <c r="K45" s="161">
        <f t="shared" si="1"/>
        <v>0.6</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Luis Angel</cp:lastModifiedBy>
  <cp:revision/>
  <dcterms:created xsi:type="dcterms:W3CDTF">2020-04-28T13:58:09Z</dcterms:created>
  <dcterms:modified xsi:type="dcterms:W3CDTF">2021-07-30T20:46:10Z</dcterms:modified>
</cp:coreProperties>
</file>